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880" yWindow="0" windowWidth="21960" windowHeight="26420" tabRatio="890" firstSheet="31" activeTab="35"/>
  </bookViews>
  <sheets>
    <sheet name="A3.2 Breakdown" sheetId="33" r:id="rId1"/>
    <sheet name="A3 Total " sheetId="1" r:id="rId2"/>
    <sheet name="1.HCMR" sheetId="2" r:id="rId3"/>
    <sheet name="2.FCPCT" sheetId="3" r:id="rId4"/>
    <sheet name="3.IRTA" sheetId="4" r:id="rId5"/>
    <sheet name="4.IOLR" sheetId="5" r:id="rId6"/>
    <sheet name="5.UNIABD" sheetId="6" r:id="rId7"/>
    <sheet name="6.DLO" sheetId="7" r:id="rId8"/>
    <sheet name="7.IMR" sheetId="8" r:id="rId9"/>
    <sheet name="8.IEO" sheetId="9" r:id="rId10"/>
    <sheet name="9.UL" sheetId="10" r:id="rId11"/>
    <sheet name="10.TUe" sheetId="11" r:id="rId12"/>
    <sheet name="11.AU" sheetId="12" r:id="rId13"/>
    <sheet name="12. APROMAR" sheetId="13" r:id="rId14"/>
    <sheet name="13.UNIBA" sheetId="14" r:id="rId15"/>
    <sheet name="14.IFREMER" sheetId="15" r:id="rId16"/>
    <sheet name="15.ULL" sheetId="16" r:id="rId17"/>
    <sheet name="16.FUNDP" sheetId="17" r:id="rId18"/>
    <sheet name="17.NIFES" sheetId="18" r:id="rId19"/>
    <sheet name="18.CTAQUA" sheetId="19" r:id="rId20"/>
    <sheet name="19.CMRM" sheetId="20" r:id="rId21"/>
    <sheet name="20.SARC" sheetId="22" r:id="rId22"/>
    <sheet name="21.DTU" sheetId="21" r:id="rId23"/>
    <sheet name="22.SWH" sheetId="23" r:id="rId24"/>
    <sheet name="23.ARGO" sheetId="24" r:id="rId25"/>
    <sheet name="24.ITICAL" sheetId="25" r:id="rId26"/>
    <sheet name="25.DOR" sheetId="26" r:id="rId27"/>
    <sheet name="26.GEI" sheetId="27" r:id="rId28"/>
    <sheet name="27.FORKYS" sheetId="28" r:id="rId29"/>
    <sheet name="28.CANEXMAR" sheetId="29" r:id="rId30"/>
    <sheet name="29.ASIALOR" sheetId="30" r:id="rId31"/>
    <sheet name="30.CULMAREX" sheetId="31" r:id="rId32"/>
    <sheet name="31.IRIDA" sheetId="32" r:id="rId33"/>
    <sheet name="32. MC2" sheetId="34" r:id="rId34"/>
    <sheet name="33. FGM" sheetId="35" r:id="rId35"/>
    <sheet name="34. BVFi" sheetId="36" r:id="rId36"/>
    <sheet name="35. MASZ" sheetId="37" r:id="rId37"/>
    <sheet name="36. ANFACO" sheetId="38" r:id="rId38"/>
    <sheet name="37. EUFIC" sheetId="39" r:id="rId39"/>
    <sheet name="38. HRH" sheetId="40" r:id="rId40"/>
    <sheet name="39. Fish 2 BE" sheetId="41" r:id="rId41"/>
    <sheet name="40. GMF" sheetId="42" r:id="rId42"/>
  </sheets>
  <definedNames>
    <definedName name="_GoBack" localSheetId="5">'4.IOLR'!$H$4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D14" i="1"/>
  <c r="G14" i="42"/>
  <c r="D13" i="42"/>
  <c r="D14" i="42"/>
  <c r="D34" i="41"/>
  <c r="G31" i="41"/>
  <c r="D31" i="41"/>
  <c r="D29" i="41"/>
  <c r="D30" i="41"/>
  <c r="D33" i="41"/>
  <c r="E30" i="41"/>
  <c r="E31" i="41"/>
  <c r="E33" i="41"/>
  <c r="E34" i="41"/>
  <c r="F30" i="41"/>
  <c r="F31" i="41"/>
  <c r="F33" i="41"/>
  <c r="F34" i="41"/>
  <c r="G30" i="41"/>
  <c r="G33" i="41"/>
  <c r="G34" i="41"/>
  <c r="H30" i="41"/>
  <c r="H31" i="41"/>
  <c r="H33" i="41"/>
  <c r="H34" i="41"/>
  <c r="J34" i="41"/>
  <c r="J25" i="41"/>
  <c r="J26" i="41"/>
  <c r="J30" i="41"/>
  <c r="J31" i="41"/>
  <c r="J33" i="41"/>
  <c r="J29" i="41"/>
  <c r="J28" i="41"/>
  <c r="J27" i="41"/>
  <c r="G13" i="42"/>
  <c r="G16" i="42"/>
  <c r="G17" i="42"/>
  <c r="D16" i="42"/>
  <c r="D17" i="42"/>
  <c r="J17" i="42"/>
  <c r="D12" i="41"/>
  <c r="M11" i="40"/>
  <c r="D29" i="19"/>
  <c r="D30" i="19"/>
  <c r="D32" i="19"/>
  <c r="D33" i="19"/>
  <c r="E29" i="19"/>
  <c r="E32" i="19"/>
  <c r="E33" i="19"/>
  <c r="F29" i="19"/>
  <c r="F32" i="19"/>
  <c r="F33" i="19"/>
  <c r="G29" i="19"/>
  <c r="G30" i="19"/>
  <c r="G32" i="19"/>
  <c r="G33" i="19"/>
  <c r="H29" i="19"/>
  <c r="H30" i="19"/>
  <c r="H32" i="19"/>
  <c r="H33" i="19"/>
  <c r="J33" i="19"/>
  <c r="J24" i="19"/>
  <c r="J25" i="19"/>
  <c r="J29" i="19"/>
  <c r="J30" i="19"/>
  <c r="J32" i="19"/>
  <c r="J28" i="19"/>
  <c r="J27" i="19"/>
  <c r="J26" i="19"/>
  <c r="M8" i="40"/>
  <c r="J9" i="40"/>
  <c r="K9" i="40"/>
  <c r="D13" i="41"/>
  <c r="D14" i="41"/>
  <c r="D16" i="41"/>
  <c r="D17" i="41"/>
  <c r="D13" i="40"/>
  <c r="D14" i="40"/>
  <c r="D16" i="40"/>
  <c r="D17" i="40"/>
  <c r="D13" i="24"/>
  <c r="D14" i="24"/>
  <c r="D16" i="24"/>
  <c r="D17" i="24"/>
  <c r="D13" i="19"/>
  <c r="D14" i="19"/>
  <c r="D16" i="19"/>
  <c r="D17" i="19"/>
  <c r="D14" i="7"/>
  <c r="D16" i="7"/>
  <c r="D17" i="7"/>
  <c r="D17" i="1"/>
  <c r="J9" i="41"/>
  <c r="J9" i="1"/>
  <c r="J8" i="41"/>
  <c r="J8" i="24"/>
  <c r="J8" i="40"/>
  <c r="J8" i="19"/>
  <c r="J8" i="7"/>
  <c r="J8" i="42"/>
  <c r="J8" i="36"/>
  <c r="J8" i="1"/>
  <c r="H9" i="1"/>
  <c r="H8" i="1"/>
  <c r="G9" i="1"/>
  <c r="G8" i="1"/>
  <c r="J12" i="41"/>
  <c r="J12" i="1"/>
  <c r="J11" i="19"/>
  <c r="J11" i="40"/>
  <c r="J11" i="41"/>
  <c r="J11" i="42"/>
  <c r="J11" i="1"/>
  <c r="J10" i="19"/>
  <c r="J10" i="40"/>
  <c r="J10" i="24"/>
  <c r="J10" i="41"/>
  <c r="J10" i="42"/>
  <c r="J10" i="1"/>
  <c r="H12" i="1"/>
  <c r="H11" i="1"/>
  <c r="H10" i="1"/>
  <c r="G12" i="1"/>
  <c r="G11" i="1"/>
  <c r="G10" i="1"/>
  <c r="D12" i="1"/>
  <c r="D11" i="1"/>
  <c r="D10" i="1"/>
  <c r="D9" i="1"/>
  <c r="D8" i="1"/>
  <c r="G13" i="41"/>
  <c r="G14" i="41"/>
  <c r="G16" i="41"/>
  <c r="G17" i="41"/>
  <c r="J17" i="41"/>
  <c r="K45" i="33"/>
  <c r="M45" i="33"/>
  <c r="J17" i="40"/>
  <c r="K44" i="33"/>
  <c r="M44" i="33"/>
  <c r="J17" i="24"/>
  <c r="K29" i="33"/>
  <c r="M29" i="33"/>
  <c r="K46" i="33"/>
  <c r="M46" i="33"/>
  <c r="K30" i="33"/>
  <c r="M30" i="33"/>
  <c r="K31" i="33"/>
  <c r="M31" i="33"/>
  <c r="K32" i="33"/>
  <c r="M32" i="33"/>
  <c r="K33" i="33"/>
  <c r="M33" i="33"/>
  <c r="K34" i="33"/>
  <c r="M34" i="33"/>
  <c r="K35" i="33"/>
  <c r="M35" i="33"/>
  <c r="K36" i="33"/>
  <c r="M36" i="33"/>
  <c r="K37" i="33"/>
  <c r="M37" i="33"/>
  <c r="H14" i="36"/>
  <c r="H16" i="36"/>
  <c r="H17" i="36"/>
  <c r="J17" i="36"/>
  <c r="K40" i="33"/>
  <c r="M40" i="33"/>
  <c r="M50" i="33"/>
  <c r="K17" i="40"/>
  <c r="J14" i="40"/>
  <c r="J13" i="40"/>
  <c r="J16" i="40"/>
  <c r="K16" i="40"/>
  <c r="K12" i="40"/>
  <c r="K11" i="40"/>
  <c r="K10" i="40"/>
  <c r="K8" i="40"/>
  <c r="J17" i="7"/>
  <c r="K17" i="7"/>
  <c r="J14" i="7"/>
  <c r="J16" i="7"/>
  <c r="K16" i="7"/>
  <c r="K12" i="7"/>
  <c r="K11" i="7"/>
  <c r="K10" i="7"/>
  <c r="K8" i="7"/>
  <c r="H13" i="36"/>
  <c r="D13" i="27"/>
  <c r="D14" i="27"/>
  <c r="D16" i="27"/>
  <c r="D17" i="27"/>
  <c r="J17" i="27"/>
  <c r="K50" i="33"/>
  <c r="D13" i="2"/>
  <c r="D14" i="2"/>
  <c r="D16" i="2"/>
  <c r="D17" i="2"/>
  <c r="J17" i="2"/>
  <c r="K7" i="33"/>
  <c r="H13" i="19"/>
  <c r="H14" i="19"/>
  <c r="H16" i="19"/>
  <c r="H17" i="19"/>
  <c r="J17" i="19"/>
  <c r="K24" i="33"/>
  <c r="K12" i="33"/>
  <c r="K8" i="33"/>
  <c r="K9" i="33"/>
  <c r="K10" i="33"/>
  <c r="K11" i="33"/>
  <c r="K13" i="33"/>
  <c r="K14" i="33"/>
  <c r="K15" i="33"/>
  <c r="K16" i="33"/>
  <c r="K17" i="33"/>
  <c r="K18" i="33"/>
  <c r="K19" i="33"/>
  <c r="K20" i="33"/>
  <c r="K21" i="33"/>
  <c r="K22" i="33"/>
  <c r="K23" i="33"/>
  <c r="K25" i="33"/>
  <c r="K26" i="33"/>
  <c r="K27" i="33"/>
  <c r="K28" i="33"/>
  <c r="K38" i="33"/>
  <c r="K39" i="33"/>
  <c r="K41" i="33"/>
  <c r="K42" i="33"/>
  <c r="K43" i="33"/>
  <c r="K49" i="33"/>
  <c r="K51" i="33"/>
  <c r="D53" i="33"/>
  <c r="J24" i="2"/>
  <c r="J40" i="2"/>
  <c r="K24" i="2"/>
  <c r="J25" i="2"/>
  <c r="J26" i="2"/>
  <c r="J42" i="2"/>
  <c r="K26" i="2"/>
  <c r="J27" i="2"/>
  <c r="J43" i="2"/>
  <c r="K27" i="2"/>
  <c r="J28" i="2"/>
  <c r="J44" i="2"/>
  <c r="K28" i="2"/>
  <c r="D29" i="2"/>
  <c r="E29" i="2"/>
  <c r="F29" i="2"/>
  <c r="G29" i="2"/>
  <c r="H29" i="2"/>
  <c r="J29" i="2"/>
  <c r="D30" i="2"/>
  <c r="G30" i="2"/>
  <c r="H30" i="2"/>
  <c r="J30" i="2"/>
  <c r="D32" i="2"/>
  <c r="E32" i="2"/>
  <c r="F32" i="2"/>
  <c r="G32" i="2"/>
  <c r="H32" i="2"/>
  <c r="J32" i="2"/>
  <c r="J41" i="2"/>
  <c r="D45" i="2"/>
  <c r="E45" i="2"/>
  <c r="F45" i="2"/>
  <c r="G45" i="2"/>
  <c r="H45" i="2"/>
  <c r="J45" i="2"/>
  <c r="D46" i="2"/>
  <c r="G46" i="2"/>
  <c r="H46" i="2"/>
  <c r="J46" i="2"/>
  <c r="J48" i="2"/>
  <c r="K32" i="2"/>
  <c r="D33" i="2"/>
  <c r="E33" i="2"/>
  <c r="F33" i="2"/>
  <c r="G33" i="2"/>
  <c r="H33" i="2"/>
  <c r="J33" i="2"/>
  <c r="D48" i="2"/>
  <c r="D49" i="2"/>
  <c r="E48" i="2"/>
  <c r="E49" i="2"/>
  <c r="F48" i="2"/>
  <c r="F49" i="2"/>
  <c r="G48" i="2"/>
  <c r="G49" i="2"/>
  <c r="H48" i="2"/>
  <c r="H49" i="2"/>
  <c r="J49" i="2"/>
  <c r="K33" i="2"/>
  <c r="D29" i="7"/>
  <c r="D30" i="7"/>
  <c r="D32" i="7"/>
  <c r="D33" i="7"/>
  <c r="E29" i="7"/>
  <c r="E32" i="7"/>
  <c r="E33" i="7"/>
  <c r="F29" i="7"/>
  <c r="F32" i="7"/>
  <c r="F33" i="7"/>
  <c r="G29" i="7"/>
  <c r="G30" i="7"/>
  <c r="G32" i="7"/>
  <c r="G33" i="7"/>
  <c r="H29" i="7"/>
  <c r="H30" i="7"/>
  <c r="H32" i="7"/>
  <c r="H33" i="7"/>
  <c r="J33" i="7"/>
  <c r="J24" i="7"/>
  <c r="J25" i="7"/>
  <c r="J29" i="7"/>
  <c r="J30" i="7"/>
  <c r="J32" i="7"/>
  <c r="J28" i="7"/>
  <c r="J27" i="7"/>
  <c r="J26" i="7"/>
  <c r="J24" i="24"/>
  <c r="K24" i="24"/>
  <c r="J25" i="24"/>
  <c r="J26" i="24"/>
  <c r="K26" i="24"/>
  <c r="J27" i="24"/>
  <c r="J28" i="24"/>
  <c r="D29" i="24"/>
  <c r="E29" i="24"/>
  <c r="F29" i="24"/>
  <c r="G29" i="24"/>
  <c r="H29" i="24"/>
  <c r="J29" i="24"/>
  <c r="D30" i="24"/>
  <c r="G30" i="24"/>
  <c r="J30" i="24"/>
  <c r="D32" i="24"/>
  <c r="E32" i="24"/>
  <c r="F32" i="24"/>
  <c r="G32" i="24"/>
  <c r="H32" i="24"/>
  <c r="J32" i="24"/>
  <c r="K32" i="24"/>
  <c r="D33" i="24"/>
  <c r="E33" i="24"/>
  <c r="F33" i="24"/>
  <c r="G33" i="24"/>
  <c r="H33" i="24"/>
  <c r="J33" i="24"/>
  <c r="K33" i="24"/>
  <c r="D13" i="25"/>
  <c r="D14" i="25"/>
  <c r="D16" i="25"/>
  <c r="D17" i="25"/>
  <c r="G13" i="25"/>
  <c r="G14" i="25"/>
  <c r="G16" i="25"/>
  <c r="G17" i="25"/>
  <c r="J17" i="25"/>
  <c r="D14" i="30"/>
  <c r="D13" i="30"/>
  <c r="D16" i="30"/>
  <c r="D17" i="30"/>
  <c r="G14" i="30"/>
  <c r="G13" i="30"/>
  <c r="G16" i="30"/>
  <c r="G17" i="30"/>
  <c r="J17" i="30"/>
  <c r="J9" i="42"/>
  <c r="J13" i="42"/>
  <c r="J14" i="42"/>
  <c r="J16" i="42"/>
  <c r="I46" i="33"/>
  <c r="J14" i="24"/>
  <c r="J13" i="24"/>
  <c r="J16" i="24"/>
  <c r="I29" i="33"/>
  <c r="I44" i="33"/>
  <c r="J8" i="25"/>
  <c r="J14" i="25"/>
  <c r="J13" i="25"/>
  <c r="J16" i="25"/>
  <c r="I30" i="33"/>
  <c r="J8" i="30"/>
  <c r="J14" i="30"/>
  <c r="J13" i="30"/>
  <c r="J16" i="30"/>
  <c r="I35" i="33"/>
  <c r="J13" i="36"/>
  <c r="J14" i="36"/>
  <c r="J16" i="36"/>
  <c r="I40" i="33"/>
  <c r="J8" i="27"/>
  <c r="J14" i="27"/>
  <c r="J13" i="27"/>
  <c r="J16" i="27"/>
  <c r="I32" i="33"/>
  <c r="J14" i="41"/>
  <c r="J13" i="41"/>
  <c r="J16" i="41"/>
  <c r="I45" i="33"/>
  <c r="I31" i="33"/>
  <c r="I33" i="33"/>
  <c r="I34" i="33"/>
  <c r="I36" i="33"/>
  <c r="I37" i="33"/>
  <c r="I50" i="33"/>
  <c r="H40" i="33"/>
  <c r="H29" i="33"/>
  <c r="H30" i="33"/>
  <c r="H31" i="33"/>
  <c r="H32" i="33"/>
  <c r="H33" i="33"/>
  <c r="H34" i="33"/>
  <c r="H35" i="33"/>
  <c r="H36" i="33"/>
  <c r="H37" i="33"/>
  <c r="H44" i="33"/>
  <c r="H45" i="33"/>
  <c r="H46" i="33"/>
  <c r="H50" i="33"/>
  <c r="G30" i="33"/>
  <c r="G35" i="33"/>
  <c r="G46" i="33"/>
  <c r="G45" i="33"/>
  <c r="G29" i="33"/>
  <c r="G31" i="33"/>
  <c r="G32" i="33"/>
  <c r="G33" i="33"/>
  <c r="G34" i="33"/>
  <c r="G36" i="33"/>
  <c r="G37" i="33"/>
  <c r="G40" i="33"/>
  <c r="G44" i="33"/>
  <c r="G50" i="33"/>
  <c r="D46" i="33"/>
  <c r="D29" i="33"/>
  <c r="D44" i="33"/>
  <c r="D30" i="33"/>
  <c r="D35" i="33"/>
  <c r="D32" i="33"/>
  <c r="D45" i="33"/>
  <c r="D31" i="33"/>
  <c r="D33" i="33"/>
  <c r="D34" i="33"/>
  <c r="D36" i="33"/>
  <c r="D37" i="33"/>
  <c r="D40" i="33"/>
  <c r="D50" i="33"/>
  <c r="M12" i="33"/>
  <c r="M7" i="33"/>
  <c r="M24" i="33"/>
  <c r="M8" i="33"/>
  <c r="M9" i="33"/>
  <c r="M10" i="33"/>
  <c r="M11" i="33"/>
  <c r="M13" i="33"/>
  <c r="M14" i="33"/>
  <c r="M15" i="33"/>
  <c r="M16" i="33"/>
  <c r="M17" i="33"/>
  <c r="M18" i="33"/>
  <c r="M19" i="33"/>
  <c r="M20" i="33"/>
  <c r="M21" i="33"/>
  <c r="M22" i="33"/>
  <c r="M23" i="33"/>
  <c r="M25" i="33"/>
  <c r="M26" i="33"/>
  <c r="M27" i="33"/>
  <c r="M28" i="33"/>
  <c r="M38" i="33"/>
  <c r="M39" i="33"/>
  <c r="M41" i="33"/>
  <c r="M42" i="33"/>
  <c r="M43" i="33"/>
  <c r="M47" i="33"/>
  <c r="K47" i="33"/>
  <c r="I12" i="33"/>
  <c r="J13" i="2"/>
  <c r="J8" i="2"/>
  <c r="J14" i="2"/>
  <c r="J16" i="2"/>
  <c r="I7" i="33"/>
  <c r="J14" i="19"/>
  <c r="J13" i="19"/>
  <c r="J16" i="19"/>
  <c r="I24" i="33"/>
  <c r="I8" i="33"/>
  <c r="I9" i="33"/>
  <c r="I10" i="33"/>
  <c r="I11" i="33"/>
  <c r="I13" i="33"/>
  <c r="I14" i="33"/>
  <c r="I15" i="33"/>
  <c r="I16" i="33"/>
  <c r="I17" i="33"/>
  <c r="I18" i="33"/>
  <c r="I19" i="33"/>
  <c r="I20" i="33"/>
  <c r="I21" i="33"/>
  <c r="I22" i="33"/>
  <c r="I23" i="33"/>
  <c r="I25" i="33"/>
  <c r="I26" i="33"/>
  <c r="I27" i="33"/>
  <c r="I28" i="33"/>
  <c r="I38" i="33"/>
  <c r="I39" i="33"/>
  <c r="I41" i="33"/>
  <c r="I42" i="33"/>
  <c r="I43" i="33"/>
  <c r="I47" i="33"/>
  <c r="H24" i="33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5" i="33"/>
  <c r="H26" i="33"/>
  <c r="H27" i="33"/>
  <c r="H28" i="33"/>
  <c r="H38" i="33"/>
  <c r="H39" i="33"/>
  <c r="H41" i="33"/>
  <c r="H42" i="33"/>
  <c r="H43" i="33"/>
  <c r="H47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38" i="33"/>
  <c r="G39" i="33"/>
  <c r="G41" i="33"/>
  <c r="G42" i="33"/>
  <c r="G43" i="33"/>
  <c r="G47" i="33"/>
  <c r="D12" i="33"/>
  <c r="D7" i="33"/>
  <c r="D24" i="33"/>
  <c r="D8" i="33"/>
  <c r="D9" i="33"/>
  <c r="D10" i="33"/>
  <c r="D11" i="33"/>
  <c r="D13" i="33"/>
  <c r="D14" i="33"/>
  <c r="D15" i="33"/>
  <c r="D16" i="33"/>
  <c r="D17" i="33"/>
  <c r="D18" i="33"/>
  <c r="D19" i="33"/>
  <c r="D20" i="33"/>
  <c r="D21" i="33"/>
  <c r="D22" i="33"/>
  <c r="D23" i="33"/>
  <c r="D25" i="33"/>
  <c r="D26" i="33"/>
  <c r="D27" i="33"/>
  <c r="D28" i="33"/>
  <c r="D38" i="33"/>
  <c r="D39" i="33"/>
  <c r="D41" i="33"/>
  <c r="D42" i="33"/>
  <c r="D43" i="33"/>
  <c r="D47" i="33"/>
  <c r="K17" i="31"/>
  <c r="K17" i="36"/>
  <c r="J24" i="36"/>
  <c r="J25" i="36"/>
  <c r="J26" i="36"/>
  <c r="J27" i="36"/>
  <c r="J28" i="36"/>
  <c r="D29" i="36"/>
  <c r="G29" i="36"/>
  <c r="H29" i="36"/>
  <c r="J29" i="36"/>
  <c r="D30" i="36"/>
  <c r="E30" i="36"/>
  <c r="F30" i="36"/>
  <c r="G30" i="36"/>
  <c r="H30" i="36"/>
  <c r="J30" i="36"/>
  <c r="D32" i="36"/>
  <c r="E32" i="36"/>
  <c r="F32" i="36"/>
  <c r="G32" i="36"/>
  <c r="H32" i="36"/>
  <c r="J32" i="36"/>
  <c r="D33" i="36"/>
  <c r="E33" i="36"/>
  <c r="F33" i="36"/>
  <c r="G33" i="36"/>
  <c r="H33" i="36"/>
  <c r="J33" i="36"/>
  <c r="D45" i="36"/>
  <c r="D46" i="36"/>
  <c r="D48" i="36"/>
  <c r="D49" i="36"/>
  <c r="E46" i="36"/>
  <c r="E48" i="36"/>
  <c r="E49" i="36"/>
  <c r="F46" i="36"/>
  <c r="F48" i="36"/>
  <c r="F49" i="36"/>
  <c r="G45" i="36"/>
  <c r="G46" i="36"/>
  <c r="G48" i="36"/>
  <c r="G49" i="36"/>
  <c r="H45" i="36"/>
  <c r="H46" i="36"/>
  <c r="H48" i="36"/>
  <c r="H49" i="36"/>
  <c r="J49" i="36"/>
  <c r="K33" i="36"/>
  <c r="J40" i="36"/>
  <c r="J41" i="36"/>
  <c r="J42" i="36"/>
  <c r="J43" i="36"/>
  <c r="J44" i="36"/>
  <c r="J45" i="36"/>
  <c r="J46" i="36"/>
  <c r="J48" i="36"/>
  <c r="J24" i="40"/>
  <c r="D30" i="40"/>
  <c r="J30" i="40"/>
  <c r="J32" i="40"/>
  <c r="D29" i="40"/>
  <c r="D32" i="40"/>
  <c r="D33" i="40"/>
  <c r="E29" i="40"/>
  <c r="E30" i="40"/>
  <c r="E32" i="40"/>
  <c r="E33" i="40"/>
  <c r="F29" i="40"/>
  <c r="F30" i="40"/>
  <c r="F32" i="40"/>
  <c r="F33" i="40"/>
  <c r="G29" i="40"/>
  <c r="G30" i="40"/>
  <c r="G32" i="40"/>
  <c r="G33" i="40"/>
  <c r="H29" i="40"/>
  <c r="H30" i="40"/>
  <c r="H32" i="40"/>
  <c r="H33" i="40"/>
  <c r="J33" i="40"/>
  <c r="J25" i="40"/>
  <c r="J29" i="40"/>
  <c r="J28" i="40"/>
  <c r="J27" i="40"/>
  <c r="J26" i="40"/>
  <c r="D14" i="12"/>
  <c r="D16" i="12"/>
  <c r="D17" i="12"/>
  <c r="J17" i="12"/>
  <c r="K17" i="12"/>
  <c r="D29" i="12"/>
  <c r="D30" i="12"/>
  <c r="D32" i="12"/>
  <c r="D33" i="12"/>
  <c r="E29" i="12"/>
  <c r="E32" i="12"/>
  <c r="E33" i="12"/>
  <c r="F29" i="12"/>
  <c r="F32" i="12"/>
  <c r="F33" i="12"/>
  <c r="G29" i="12"/>
  <c r="G30" i="12"/>
  <c r="G32" i="12"/>
  <c r="G33" i="12"/>
  <c r="H29" i="12"/>
  <c r="H32" i="12"/>
  <c r="H33" i="12"/>
  <c r="J33" i="12"/>
  <c r="J24" i="12"/>
  <c r="J25" i="12"/>
  <c r="J29" i="12"/>
  <c r="J30" i="12"/>
  <c r="J32" i="12"/>
  <c r="J28" i="12"/>
  <c r="J27" i="12"/>
  <c r="J26" i="12"/>
  <c r="K17" i="27"/>
  <c r="D29" i="27"/>
  <c r="D30" i="27"/>
  <c r="D32" i="27"/>
  <c r="D33" i="27"/>
  <c r="E29" i="27"/>
  <c r="E32" i="27"/>
  <c r="E33" i="27"/>
  <c r="F29" i="27"/>
  <c r="F32" i="27"/>
  <c r="F33" i="27"/>
  <c r="G29" i="27"/>
  <c r="G30" i="27"/>
  <c r="G32" i="27"/>
  <c r="G33" i="27"/>
  <c r="H29" i="27"/>
  <c r="H32" i="27"/>
  <c r="H33" i="27"/>
  <c r="J33" i="27"/>
  <c r="J24" i="27"/>
  <c r="J25" i="27"/>
  <c r="J29" i="27"/>
  <c r="J30" i="27"/>
  <c r="J32" i="27"/>
  <c r="J28" i="27"/>
  <c r="J27" i="27"/>
  <c r="J26" i="27"/>
  <c r="K17" i="30"/>
  <c r="J23" i="25"/>
  <c r="J24" i="25"/>
  <c r="J25" i="25"/>
  <c r="J26" i="25"/>
  <c r="J27" i="25"/>
  <c r="D28" i="25"/>
  <c r="E28" i="25"/>
  <c r="F28" i="25"/>
  <c r="G28" i="25"/>
  <c r="H28" i="25"/>
  <c r="J28" i="25"/>
  <c r="D29" i="25"/>
  <c r="G29" i="25"/>
  <c r="J29" i="25"/>
  <c r="D31" i="25"/>
  <c r="E31" i="25"/>
  <c r="F31" i="25"/>
  <c r="G31" i="25"/>
  <c r="H31" i="25"/>
  <c r="J31" i="25"/>
  <c r="D32" i="25"/>
  <c r="E32" i="25"/>
  <c r="F32" i="25"/>
  <c r="G32" i="25"/>
  <c r="H32" i="25"/>
  <c r="J32" i="25"/>
  <c r="K32" i="25"/>
  <c r="E13" i="42"/>
  <c r="E14" i="42"/>
  <c r="E16" i="42"/>
  <c r="E17" i="42"/>
  <c r="F13" i="42"/>
  <c r="F14" i="42"/>
  <c r="F16" i="42"/>
  <c r="F17" i="42"/>
  <c r="H13" i="42"/>
  <c r="H14" i="42"/>
  <c r="H16" i="42"/>
  <c r="H17" i="42"/>
  <c r="J12" i="42"/>
  <c r="E13" i="41"/>
  <c r="E14" i="41"/>
  <c r="E16" i="41"/>
  <c r="E17" i="41"/>
  <c r="F13" i="41"/>
  <c r="F14" i="41"/>
  <c r="F16" i="41"/>
  <c r="F17" i="41"/>
  <c r="H13" i="41"/>
  <c r="H14" i="41"/>
  <c r="H16" i="41"/>
  <c r="H17" i="41"/>
  <c r="J12" i="2"/>
  <c r="K12" i="2"/>
  <c r="J11" i="2"/>
  <c r="K11" i="2"/>
  <c r="J10" i="2"/>
  <c r="K10" i="2"/>
  <c r="K8" i="2"/>
  <c r="K17" i="4"/>
  <c r="K16" i="4"/>
  <c r="K12" i="4"/>
  <c r="K11" i="4"/>
  <c r="K10" i="4"/>
  <c r="K8" i="24"/>
  <c r="K10" i="24"/>
  <c r="K17" i="16"/>
  <c r="K16" i="16"/>
  <c r="D14" i="31"/>
  <c r="G14" i="31"/>
  <c r="K17" i="5"/>
  <c r="K16" i="5"/>
  <c r="J24" i="31"/>
  <c r="J25" i="31"/>
  <c r="J26" i="31"/>
  <c r="J27" i="31"/>
  <c r="J28" i="31"/>
  <c r="D29" i="31"/>
  <c r="E29" i="31"/>
  <c r="F29" i="31"/>
  <c r="G29" i="31"/>
  <c r="H29" i="31"/>
  <c r="J29" i="31"/>
  <c r="D30" i="31"/>
  <c r="G30" i="31"/>
  <c r="J30" i="31"/>
  <c r="D32" i="31"/>
  <c r="E32" i="31"/>
  <c r="F32" i="31"/>
  <c r="G32" i="31"/>
  <c r="H32" i="31"/>
  <c r="J32" i="31"/>
  <c r="D33" i="31"/>
  <c r="E33" i="31"/>
  <c r="F33" i="31"/>
  <c r="G33" i="31"/>
  <c r="H33" i="31"/>
  <c r="J33" i="31"/>
  <c r="J50" i="31"/>
  <c r="J51" i="31"/>
  <c r="J52" i="31"/>
  <c r="J53" i="31"/>
  <c r="J54" i="31"/>
  <c r="D55" i="31"/>
  <c r="E55" i="31"/>
  <c r="F55" i="31"/>
  <c r="G55" i="31"/>
  <c r="H55" i="31"/>
  <c r="J55" i="31"/>
  <c r="D56" i="31"/>
  <c r="G56" i="31"/>
  <c r="J56" i="31"/>
  <c r="D58" i="31"/>
  <c r="E58" i="31"/>
  <c r="F58" i="31"/>
  <c r="G58" i="31"/>
  <c r="H58" i="31"/>
  <c r="J58" i="31"/>
  <c r="D59" i="31"/>
  <c r="E59" i="31"/>
  <c r="F59" i="31"/>
  <c r="G59" i="31"/>
  <c r="H59" i="31"/>
  <c r="J59" i="31"/>
  <c r="J8" i="5"/>
  <c r="J9" i="5"/>
  <c r="J10" i="5"/>
  <c r="J11" i="5"/>
  <c r="J12" i="5"/>
  <c r="D13" i="5"/>
  <c r="E13" i="5"/>
  <c r="F13" i="5"/>
  <c r="G13" i="5"/>
  <c r="H13" i="5"/>
  <c r="J13" i="5"/>
  <c r="D14" i="5"/>
  <c r="G14" i="5"/>
  <c r="H14" i="5"/>
  <c r="J14" i="5"/>
  <c r="D16" i="5"/>
  <c r="E16" i="5"/>
  <c r="F16" i="5"/>
  <c r="G16" i="5"/>
  <c r="H16" i="5"/>
  <c r="J16" i="5"/>
  <c r="D17" i="5"/>
  <c r="E17" i="5"/>
  <c r="F17" i="5"/>
  <c r="G17" i="5"/>
  <c r="H17" i="5"/>
  <c r="J17" i="5"/>
  <c r="D28" i="16"/>
  <c r="D29" i="16"/>
  <c r="D31" i="16"/>
  <c r="D32" i="16"/>
  <c r="E28" i="16"/>
  <c r="E31" i="16"/>
  <c r="E32" i="16"/>
  <c r="F28" i="16"/>
  <c r="F31" i="16"/>
  <c r="F32" i="16"/>
  <c r="G28" i="16"/>
  <c r="G29" i="16"/>
  <c r="G31" i="16"/>
  <c r="G32" i="16"/>
  <c r="H28" i="16"/>
  <c r="H31" i="16"/>
  <c r="H32" i="16"/>
  <c r="J32" i="16"/>
  <c r="J23" i="16"/>
  <c r="J24" i="16"/>
  <c r="J28" i="16"/>
  <c r="J29" i="16"/>
  <c r="J31" i="16"/>
  <c r="J27" i="16"/>
  <c r="J26" i="16"/>
  <c r="J25" i="16"/>
  <c r="D30" i="5"/>
  <c r="D31" i="5"/>
  <c r="D33" i="5"/>
  <c r="D34" i="5"/>
  <c r="E30" i="5"/>
  <c r="E33" i="5"/>
  <c r="E34" i="5"/>
  <c r="F30" i="5"/>
  <c r="F33" i="5"/>
  <c r="F34" i="5"/>
  <c r="G30" i="5"/>
  <c r="G31" i="5"/>
  <c r="G33" i="5"/>
  <c r="G34" i="5"/>
  <c r="H30" i="5"/>
  <c r="H31" i="5"/>
  <c r="H33" i="5"/>
  <c r="H34" i="5"/>
  <c r="J34" i="5"/>
  <c r="J25" i="5"/>
  <c r="J26" i="5"/>
  <c r="J30" i="5"/>
  <c r="J31" i="5"/>
  <c r="J33" i="5"/>
  <c r="J29" i="5"/>
  <c r="J28" i="5"/>
  <c r="J27" i="5"/>
  <c r="D11" i="14"/>
  <c r="H13" i="2"/>
  <c r="H14" i="2"/>
  <c r="H16" i="2"/>
  <c r="H17" i="2"/>
  <c r="D13" i="14"/>
  <c r="J13" i="14"/>
  <c r="D14" i="14"/>
  <c r="J14" i="14"/>
  <c r="J16" i="14"/>
  <c r="K16" i="14"/>
  <c r="D16" i="14"/>
  <c r="D17" i="14"/>
  <c r="J17" i="14"/>
  <c r="K17" i="14"/>
  <c r="D13" i="15"/>
  <c r="J13" i="15"/>
  <c r="J16" i="15"/>
  <c r="K16" i="15"/>
  <c r="D16" i="15"/>
  <c r="D17" i="15"/>
  <c r="J17" i="15"/>
  <c r="K17" i="15"/>
  <c r="K16" i="24"/>
  <c r="E13" i="24"/>
  <c r="E16" i="24"/>
  <c r="E17" i="24"/>
  <c r="F13" i="24"/>
  <c r="F16" i="24"/>
  <c r="F17" i="24"/>
  <c r="G13" i="24"/>
  <c r="G14" i="24"/>
  <c r="G16" i="24"/>
  <c r="G17" i="24"/>
  <c r="H13" i="24"/>
  <c r="H16" i="24"/>
  <c r="H17" i="24"/>
  <c r="K17" i="24"/>
  <c r="D29" i="15"/>
  <c r="D32" i="15"/>
  <c r="D33" i="15"/>
  <c r="E29" i="15"/>
  <c r="E32" i="15"/>
  <c r="E33" i="15"/>
  <c r="F29" i="15"/>
  <c r="F32" i="15"/>
  <c r="F33" i="15"/>
  <c r="G29" i="15"/>
  <c r="G32" i="15"/>
  <c r="G33" i="15"/>
  <c r="H29" i="15"/>
  <c r="H32" i="15"/>
  <c r="H33" i="15"/>
  <c r="J33" i="15"/>
  <c r="J24" i="15"/>
  <c r="J25" i="15"/>
  <c r="J29" i="15"/>
  <c r="J30" i="15"/>
  <c r="J32" i="15"/>
  <c r="J28" i="15"/>
  <c r="J27" i="15"/>
  <c r="J26" i="15"/>
  <c r="K17" i="25"/>
  <c r="D13" i="4"/>
  <c r="D16" i="4"/>
  <c r="D17" i="4"/>
  <c r="E13" i="4"/>
  <c r="E16" i="4"/>
  <c r="E17" i="4"/>
  <c r="F13" i="4"/>
  <c r="F16" i="4"/>
  <c r="F17" i="4"/>
  <c r="G13" i="4"/>
  <c r="G16" i="4"/>
  <c r="G17" i="4"/>
  <c r="H13" i="4"/>
  <c r="H16" i="4"/>
  <c r="H17" i="4"/>
  <c r="J17" i="4"/>
  <c r="D13" i="16"/>
  <c r="D14" i="16"/>
  <c r="D16" i="16"/>
  <c r="D17" i="16"/>
  <c r="E13" i="16"/>
  <c r="E16" i="16"/>
  <c r="E17" i="16"/>
  <c r="F13" i="16"/>
  <c r="F16" i="16"/>
  <c r="F17" i="16"/>
  <c r="G13" i="16"/>
  <c r="G14" i="16"/>
  <c r="G16" i="16"/>
  <c r="G17" i="16"/>
  <c r="H13" i="16"/>
  <c r="H16" i="16"/>
  <c r="H17" i="16"/>
  <c r="J17" i="16"/>
  <c r="D13" i="31"/>
  <c r="D16" i="31"/>
  <c r="D17" i="31"/>
  <c r="E16" i="31"/>
  <c r="E17" i="31"/>
  <c r="F16" i="31"/>
  <c r="F17" i="31"/>
  <c r="G13" i="31"/>
  <c r="G16" i="31"/>
  <c r="G17" i="31"/>
  <c r="H16" i="31"/>
  <c r="H17" i="31"/>
  <c r="J17" i="31"/>
  <c r="E13" i="27"/>
  <c r="E16" i="27"/>
  <c r="E17" i="27"/>
  <c r="F13" i="27"/>
  <c r="F16" i="27"/>
  <c r="F17" i="27"/>
  <c r="G13" i="27"/>
  <c r="G14" i="27"/>
  <c r="G16" i="27"/>
  <c r="G17" i="27"/>
  <c r="H13" i="27"/>
  <c r="H16" i="27"/>
  <c r="H17" i="27"/>
  <c r="D13" i="32"/>
  <c r="D14" i="32"/>
  <c r="D16" i="32"/>
  <c r="D17" i="32"/>
  <c r="J17" i="32"/>
  <c r="D29" i="8"/>
  <c r="D30" i="8"/>
  <c r="D32" i="8"/>
  <c r="D33" i="8"/>
  <c r="E29" i="8"/>
  <c r="E32" i="8"/>
  <c r="E33" i="8"/>
  <c r="F29" i="8"/>
  <c r="F32" i="8"/>
  <c r="F33" i="8"/>
  <c r="G29" i="8"/>
  <c r="G30" i="8"/>
  <c r="G32" i="8"/>
  <c r="G33" i="8"/>
  <c r="H29" i="8"/>
  <c r="H30" i="8"/>
  <c r="H32" i="8"/>
  <c r="H33" i="8"/>
  <c r="J33" i="8"/>
  <c r="J24" i="8"/>
  <c r="J25" i="8"/>
  <c r="J29" i="8"/>
  <c r="J30" i="8"/>
  <c r="J32" i="8"/>
  <c r="J28" i="8"/>
  <c r="J27" i="8"/>
  <c r="J26" i="8"/>
  <c r="D13" i="8"/>
  <c r="D16" i="8"/>
  <c r="D17" i="8"/>
  <c r="G16" i="8"/>
  <c r="G17" i="8"/>
  <c r="H13" i="8"/>
  <c r="H16" i="8"/>
  <c r="H17" i="8"/>
  <c r="J17" i="8"/>
  <c r="H13" i="1"/>
  <c r="G13" i="1"/>
  <c r="E13" i="1"/>
  <c r="F13" i="1"/>
  <c r="H14" i="1"/>
  <c r="H16" i="1"/>
  <c r="H17" i="1"/>
  <c r="G16" i="1"/>
  <c r="G17" i="1"/>
  <c r="E16" i="1"/>
  <c r="E17" i="1"/>
  <c r="F16" i="1"/>
  <c r="F17" i="1"/>
  <c r="D48" i="4"/>
  <c r="D51" i="4"/>
  <c r="D52" i="4"/>
  <c r="E48" i="4"/>
  <c r="E51" i="4"/>
  <c r="E52" i="4"/>
  <c r="F48" i="4"/>
  <c r="F51" i="4"/>
  <c r="F52" i="4"/>
  <c r="G48" i="4"/>
  <c r="G51" i="4"/>
  <c r="G52" i="4"/>
  <c r="H48" i="4"/>
  <c r="H51" i="4"/>
  <c r="H52" i="4"/>
  <c r="J52" i="4"/>
  <c r="J43" i="4"/>
  <c r="J44" i="4"/>
  <c r="J48" i="4"/>
  <c r="J49" i="4"/>
  <c r="J51" i="4"/>
  <c r="J47" i="4"/>
  <c r="J46" i="4"/>
  <c r="J45" i="4"/>
  <c r="D14" i="23"/>
  <c r="D13" i="23"/>
  <c r="D16" i="23"/>
  <c r="D17" i="23"/>
  <c r="G14" i="23"/>
  <c r="G13" i="23"/>
  <c r="G16" i="23"/>
  <c r="G17" i="23"/>
  <c r="J17" i="23"/>
  <c r="D16" i="22"/>
  <c r="D17" i="22"/>
  <c r="J17" i="22"/>
  <c r="G13" i="15"/>
  <c r="G16" i="15"/>
  <c r="G17" i="15"/>
  <c r="E13" i="3"/>
  <c r="E16" i="3"/>
  <c r="E17" i="3"/>
  <c r="J17" i="3"/>
  <c r="H56" i="33"/>
  <c r="H57" i="33"/>
  <c r="D13" i="34"/>
  <c r="D14" i="34"/>
  <c r="D14" i="26"/>
  <c r="D13" i="29"/>
  <c r="D14" i="29"/>
  <c r="D13" i="28"/>
  <c r="D14" i="28"/>
  <c r="D13" i="6"/>
  <c r="D14" i="6"/>
  <c r="H13" i="9"/>
  <c r="H14" i="9"/>
  <c r="H13" i="13"/>
  <c r="H14" i="13"/>
  <c r="G13" i="34"/>
  <c r="G14" i="34"/>
  <c r="G13" i="3"/>
  <c r="G14" i="3"/>
  <c r="D13" i="11"/>
  <c r="D16" i="11"/>
  <c r="D17" i="11"/>
  <c r="D13" i="18"/>
  <c r="D16" i="18"/>
  <c r="D17" i="18"/>
  <c r="D16" i="26"/>
  <c r="D17" i="26"/>
  <c r="D16" i="29"/>
  <c r="D17" i="29"/>
  <c r="D16" i="34"/>
  <c r="D17" i="34"/>
  <c r="D16" i="28"/>
  <c r="D17" i="28"/>
  <c r="D16" i="6"/>
  <c r="D17" i="6"/>
  <c r="G13" i="11"/>
  <c r="G16" i="11"/>
  <c r="G17" i="11"/>
  <c r="J17" i="11"/>
  <c r="J17" i="18"/>
  <c r="J17" i="26"/>
  <c r="J17" i="29"/>
  <c r="G13" i="22"/>
  <c r="G16" i="22"/>
  <c r="G17" i="22"/>
  <c r="G16" i="34"/>
  <c r="G17" i="34"/>
  <c r="J17" i="34"/>
  <c r="J17" i="28"/>
  <c r="G16" i="3"/>
  <c r="G17" i="3"/>
  <c r="J17" i="6"/>
  <c r="H16" i="9"/>
  <c r="H17" i="9"/>
  <c r="J17" i="9"/>
  <c r="H16" i="13"/>
  <c r="H17" i="13"/>
  <c r="J17" i="13"/>
  <c r="J13" i="11"/>
  <c r="J8" i="11"/>
  <c r="J16" i="11"/>
  <c r="J8" i="12"/>
  <c r="J14" i="12"/>
  <c r="J16" i="12"/>
  <c r="J13" i="4"/>
  <c r="J14" i="4"/>
  <c r="J8" i="4"/>
  <c r="J9" i="4"/>
  <c r="J16" i="4"/>
  <c r="J8" i="16"/>
  <c r="J14" i="16"/>
  <c r="J13" i="16"/>
  <c r="J9" i="16"/>
  <c r="J16" i="16"/>
  <c r="J13" i="18"/>
  <c r="J8" i="18"/>
  <c r="J14" i="18"/>
  <c r="J16" i="18"/>
  <c r="J9" i="24"/>
  <c r="J8" i="26"/>
  <c r="J14" i="26"/>
  <c r="J16" i="26"/>
  <c r="J8" i="29"/>
  <c r="J14" i="29"/>
  <c r="J13" i="29"/>
  <c r="J16" i="29"/>
  <c r="J8" i="31"/>
  <c r="J14" i="31"/>
  <c r="J13" i="31"/>
  <c r="J16" i="31"/>
  <c r="J8" i="22"/>
  <c r="J13" i="22"/>
  <c r="J16" i="22"/>
  <c r="J14" i="34"/>
  <c r="J8" i="34"/>
  <c r="J13" i="34"/>
  <c r="J16" i="34"/>
  <c r="J13" i="28"/>
  <c r="J14" i="28"/>
  <c r="J16" i="28"/>
  <c r="J8" i="8"/>
  <c r="J14" i="8"/>
  <c r="J13" i="8"/>
  <c r="J16" i="8"/>
  <c r="J9" i="27"/>
  <c r="J13" i="3"/>
  <c r="J14" i="3"/>
  <c r="J16" i="3"/>
  <c r="J13" i="6"/>
  <c r="J14" i="6"/>
  <c r="J16" i="6"/>
  <c r="J13" i="9"/>
  <c r="J14" i="9"/>
  <c r="J16" i="9"/>
  <c r="J13" i="13"/>
  <c r="J14" i="13"/>
  <c r="J16" i="13"/>
  <c r="J13" i="23"/>
  <c r="J8" i="23"/>
  <c r="J14" i="23"/>
  <c r="J16" i="23"/>
  <c r="J13" i="32"/>
  <c r="J14" i="32"/>
  <c r="J8" i="32"/>
  <c r="J16" i="32"/>
  <c r="M55" i="33"/>
  <c r="H13" i="37"/>
  <c r="H14" i="37"/>
  <c r="H16" i="37"/>
  <c r="H17" i="37"/>
  <c r="J17" i="37"/>
  <c r="H13" i="38"/>
  <c r="H14" i="38"/>
  <c r="H16" i="38"/>
  <c r="H17" i="38"/>
  <c r="J17" i="38"/>
  <c r="J13" i="37"/>
  <c r="J14" i="37"/>
  <c r="J16" i="37"/>
  <c r="J13" i="38"/>
  <c r="J14" i="38"/>
  <c r="J16" i="38"/>
  <c r="H49" i="33"/>
  <c r="G49" i="33"/>
  <c r="F14" i="40"/>
  <c r="E14" i="40"/>
  <c r="G13" i="40"/>
  <c r="G14" i="40"/>
  <c r="H13" i="40"/>
  <c r="H14" i="40"/>
  <c r="E13" i="40"/>
  <c r="E16" i="40"/>
  <c r="E17" i="40"/>
  <c r="F13" i="40"/>
  <c r="F16" i="40"/>
  <c r="F17" i="40"/>
  <c r="G16" i="40"/>
  <c r="G17" i="40"/>
  <c r="H16" i="40"/>
  <c r="H17" i="40"/>
  <c r="J12" i="40"/>
  <c r="D14" i="39"/>
  <c r="L14" i="8"/>
  <c r="L16" i="8"/>
  <c r="L13" i="8"/>
  <c r="D13" i="26"/>
  <c r="D55" i="33"/>
  <c r="H13" i="39"/>
  <c r="H14" i="39"/>
  <c r="H16" i="39"/>
  <c r="H17" i="39"/>
  <c r="D16" i="39"/>
  <c r="D17" i="39"/>
  <c r="J17" i="39"/>
  <c r="H13" i="35"/>
  <c r="H14" i="35"/>
  <c r="H16" i="35"/>
  <c r="H17" i="35"/>
  <c r="J17" i="35"/>
  <c r="D17" i="37"/>
  <c r="G14" i="32"/>
  <c r="D17" i="13"/>
  <c r="G13" i="7"/>
  <c r="G13" i="38"/>
  <c r="G14" i="38"/>
  <c r="G13" i="17"/>
  <c r="G14" i="17"/>
  <c r="G14" i="7"/>
  <c r="G13" i="37"/>
  <c r="G14" i="37"/>
  <c r="D13" i="17"/>
  <c r="D14" i="17"/>
  <c r="D16" i="17"/>
  <c r="D17" i="17"/>
  <c r="D13" i="22"/>
  <c r="D13" i="7"/>
  <c r="D13" i="3"/>
  <c r="D14" i="3"/>
  <c r="D16" i="3"/>
  <c r="D17" i="3"/>
  <c r="D13" i="37"/>
  <c r="D14" i="37"/>
  <c r="D16" i="37"/>
  <c r="G16" i="7"/>
  <c r="G17" i="7"/>
  <c r="G16" i="17"/>
  <c r="G17" i="17"/>
  <c r="J17" i="17"/>
  <c r="H13" i="22"/>
  <c r="H16" i="22"/>
  <c r="H17" i="22"/>
  <c r="G16" i="32"/>
  <c r="G17" i="32"/>
  <c r="G13" i="35"/>
  <c r="G14" i="35"/>
  <c r="G16" i="35"/>
  <c r="G17" i="35"/>
  <c r="G16" i="37"/>
  <c r="G17" i="37"/>
  <c r="G16" i="38"/>
  <c r="G17" i="38"/>
  <c r="J14" i="22"/>
  <c r="J9" i="22"/>
  <c r="J8" i="38"/>
  <c r="J9" i="38"/>
  <c r="J8" i="35"/>
  <c r="J14" i="35"/>
  <c r="J13" i="35"/>
  <c r="J16" i="35"/>
  <c r="J13" i="17"/>
  <c r="J14" i="17"/>
  <c r="J8" i="17"/>
  <c r="J16" i="17"/>
  <c r="J8" i="3"/>
  <c r="J9" i="3"/>
  <c r="J13" i="7"/>
  <c r="J8" i="13"/>
  <c r="J8" i="37"/>
  <c r="J13" i="39"/>
  <c r="J14" i="39"/>
  <c r="J16" i="39"/>
  <c r="J9" i="12"/>
  <c r="J13" i="26"/>
  <c r="H51" i="33"/>
  <c r="G51" i="33"/>
  <c r="D14" i="35"/>
  <c r="F14" i="38"/>
  <c r="E14" i="38"/>
  <c r="D14" i="38"/>
  <c r="D13" i="38"/>
  <c r="D16" i="38"/>
  <c r="D17" i="38"/>
  <c r="E16" i="38"/>
  <c r="E17" i="38"/>
  <c r="F16" i="38"/>
  <c r="F17" i="38"/>
  <c r="J12" i="38"/>
  <c r="J11" i="38"/>
  <c r="J10" i="38"/>
  <c r="E13" i="37"/>
  <c r="E16" i="37"/>
  <c r="E17" i="37"/>
  <c r="F13" i="37"/>
  <c r="F16" i="37"/>
  <c r="F17" i="37"/>
  <c r="J9" i="37"/>
  <c r="J12" i="37"/>
  <c r="J11" i="37"/>
  <c r="J10" i="37"/>
  <c r="H14" i="34"/>
  <c r="D13" i="35"/>
  <c r="D16" i="35"/>
  <c r="D17" i="35"/>
  <c r="E13" i="35"/>
  <c r="E16" i="35"/>
  <c r="E17" i="35"/>
  <c r="F13" i="35"/>
  <c r="F16" i="35"/>
  <c r="F17" i="35"/>
  <c r="J9" i="35"/>
  <c r="J12" i="35"/>
  <c r="J11" i="35"/>
  <c r="J10" i="35"/>
  <c r="E13" i="34"/>
  <c r="E16" i="34"/>
  <c r="E17" i="34"/>
  <c r="F13" i="34"/>
  <c r="F16" i="34"/>
  <c r="F17" i="34"/>
  <c r="H13" i="34"/>
  <c r="H16" i="34"/>
  <c r="H17" i="34"/>
  <c r="J9" i="34"/>
  <c r="J12" i="34"/>
  <c r="J11" i="34"/>
  <c r="J10" i="34"/>
  <c r="G13" i="20"/>
  <c r="G14" i="20"/>
  <c r="D14" i="20"/>
  <c r="D13" i="36"/>
  <c r="D14" i="36"/>
  <c r="D16" i="36"/>
  <c r="D17" i="36"/>
  <c r="E14" i="36"/>
  <c r="E16" i="36"/>
  <c r="E17" i="36"/>
  <c r="F14" i="36"/>
  <c r="F16" i="36"/>
  <c r="F17" i="36"/>
  <c r="G13" i="36"/>
  <c r="G14" i="36"/>
  <c r="G16" i="36"/>
  <c r="G17" i="36"/>
  <c r="J9" i="36"/>
  <c r="J12" i="36"/>
  <c r="J11" i="36"/>
  <c r="J10" i="36"/>
  <c r="G13" i="39"/>
  <c r="G14" i="39"/>
  <c r="F14" i="39"/>
  <c r="E14" i="39"/>
  <c r="D13" i="39"/>
  <c r="E13" i="39"/>
  <c r="E16" i="39"/>
  <c r="E17" i="39"/>
  <c r="F13" i="39"/>
  <c r="F16" i="39"/>
  <c r="F17" i="39"/>
  <c r="G16" i="39"/>
  <c r="G17" i="39"/>
  <c r="J8" i="39"/>
  <c r="J9" i="39"/>
  <c r="J12" i="39"/>
  <c r="J11" i="39"/>
  <c r="J10" i="39"/>
  <c r="D13" i="12"/>
  <c r="D13" i="10"/>
  <c r="D14" i="10"/>
  <c r="D13" i="9"/>
  <c r="D14" i="9"/>
  <c r="D13" i="13"/>
  <c r="D14" i="13"/>
  <c r="D13" i="20"/>
  <c r="H13" i="14"/>
  <c r="H14" i="14"/>
  <c r="H13" i="10"/>
  <c r="H14" i="10"/>
  <c r="G13" i="12"/>
  <c r="G14" i="12"/>
  <c r="G13" i="14"/>
  <c r="G14" i="14"/>
  <c r="G13" i="10"/>
  <c r="G14" i="10"/>
  <c r="G13" i="13"/>
  <c r="G14" i="13"/>
  <c r="G13" i="9"/>
  <c r="G14" i="9"/>
  <c r="G13" i="19"/>
  <c r="G14" i="19"/>
  <c r="G13" i="26"/>
  <c r="G14" i="26"/>
  <c r="G13" i="28"/>
  <c r="G14" i="28"/>
  <c r="G13" i="29"/>
  <c r="G14" i="29"/>
  <c r="G13" i="32"/>
  <c r="G13" i="2"/>
  <c r="G13" i="6"/>
  <c r="G13" i="8"/>
  <c r="J8" i="9"/>
  <c r="J8" i="10"/>
  <c r="J14" i="10"/>
  <c r="J13" i="10"/>
  <c r="J16" i="10"/>
  <c r="J14" i="11"/>
  <c r="J13" i="12"/>
  <c r="J8" i="15"/>
  <c r="J14" i="15"/>
  <c r="G13" i="18"/>
  <c r="J9" i="19"/>
  <c r="H13" i="20"/>
  <c r="J13" i="20"/>
  <c r="J14" i="20"/>
  <c r="J8" i="20"/>
  <c r="J9" i="20"/>
  <c r="J16" i="20"/>
  <c r="J8" i="21"/>
  <c r="D13" i="21"/>
  <c r="G13" i="21"/>
  <c r="J13" i="21"/>
  <c r="J14" i="21"/>
  <c r="J16" i="21"/>
  <c r="G45" i="1"/>
  <c r="H45" i="1"/>
  <c r="D16" i="9"/>
  <c r="D16" i="10"/>
  <c r="D16" i="13"/>
  <c r="D16" i="20"/>
  <c r="D16" i="21"/>
  <c r="G16" i="2"/>
  <c r="G16" i="9"/>
  <c r="G16" i="10"/>
  <c r="G16" i="12"/>
  <c r="G16" i="13"/>
  <c r="G16" i="14"/>
  <c r="G16" i="18"/>
  <c r="G16" i="19"/>
  <c r="G16" i="20"/>
  <c r="G16" i="21"/>
  <c r="G16" i="26"/>
  <c r="G16" i="28"/>
  <c r="G16" i="29"/>
  <c r="H16" i="10"/>
  <c r="H16" i="14"/>
  <c r="H16" i="20"/>
  <c r="G17" i="2"/>
  <c r="G16" i="6"/>
  <c r="G17" i="6"/>
  <c r="D17" i="9"/>
  <c r="G17" i="9"/>
  <c r="D17" i="10"/>
  <c r="G17" i="10"/>
  <c r="H17" i="10"/>
  <c r="J17" i="10"/>
  <c r="G17" i="12"/>
  <c r="G17" i="13"/>
  <c r="G17" i="14"/>
  <c r="H17" i="14"/>
  <c r="G17" i="18"/>
  <c r="G17" i="19"/>
  <c r="D17" i="20"/>
  <c r="G17" i="20"/>
  <c r="H17" i="20"/>
  <c r="J17" i="20"/>
  <c r="D17" i="21"/>
  <c r="G17" i="21"/>
  <c r="J17" i="21"/>
  <c r="G17" i="26"/>
  <c r="G17" i="28"/>
  <c r="G17" i="29"/>
  <c r="G23" i="20"/>
  <c r="D23" i="20"/>
  <c r="H13" i="29"/>
  <c r="H14" i="29"/>
  <c r="H14" i="7"/>
  <c r="H13" i="26"/>
  <c r="H13" i="31"/>
  <c r="H13" i="30"/>
  <c r="H16" i="30"/>
  <c r="H17" i="30"/>
  <c r="H16" i="29"/>
  <c r="H17" i="29"/>
  <c r="H16" i="26"/>
  <c r="H17" i="26"/>
  <c r="H13" i="23"/>
  <c r="H16" i="23"/>
  <c r="H17" i="23"/>
  <c r="H13" i="21"/>
  <c r="H16" i="21"/>
  <c r="H17" i="21"/>
  <c r="H13" i="18"/>
  <c r="H16" i="18"/>
  <c r="H17" i="18"/>
  <c r="H13" i="17"/>
  <c r="H16" i="17"/>
  <c r="H17" i="17"/>
  <c r="H13" i="12"/>
  <c r="H16" i="12"/>
  <c r="H17" i="12"/>
  <c r="H16" i="7"/>
  <c r="H17" i="7"/>
  <c r="H16" i="3"/>
  <c r="H17" i="3"/>
  <c r="H16" i="32"/>
  <c r="H17" i="32"/>
  <c r="J9" i="7"/>
  <c r="J9" i="8"/>
  <c r="J9" i="9"/>
  <c r="J9" i="10"/>
  <c r="J9" i="13"/>
  <c r="J9" i="17"/>
  <c r="J9" i="18"/>
  <c r="J9" i="21"/>
  <c r="J9" i="23"/>
  <c r="J9" i="2"/>
  <c r="J9" i="26"/>
  <c r="J9" i="29"/>
  <c r="J9" i="30"/>
  <c r="J9" i="31"/>
  <c r="H13" i="28"/>
  <c r="H16" i="28"/>
  <c r="H17" i="28"/>
  <c r="J8" i="28"/>
  <c r="J9" i="28"/>
  <c r="H13" i="11"/>
  <c r="H16" i="11"/>
  <c r="H17" i="11"/>
  <c r="J9" i="11"/>
  <c r="G14" i="2"/>
  <c r="H13" i="32"/>
  <c r="H13" i="25"/>
  <c r="H13" i="15"/>
  <c r="E13" i="32"/>
  <c r="E16" i="32"/>
  <c r="E17" i="32"/>
  <c r="F13" i="32"/>
  <c r="F16" i="32"/>
  <c r="F17" i="32"/>
  <c r="J9" i="32"/>
  <c r="J12" i="32"/>
  <c r="J11" i="32"/>
  <c r="J10" i="32"/>
  <c r="E13" i="31"/>
  <c r="F13" i="31"/>
  <c r="J12" i="31"/>
  <c r="J11" i="31"/>
  <c r="J10" i="31"/>
  <c r="E13" i="30"/>
  <c r="E16" i="30"/>
  <c r="E17" i="30"/>
  <c r="F13" i="30"/>
  <c r="F16" i="30"/>
  <c r="F17" i="30"/>
  <c r="J12" i="30"/>
  <c r="J11" i="30"/>
  <c r="J10" i="30"/>
  <c r="E13" i="29"/>
  <c r="E16" i="29"/>
  <c r="E17" i="29"/>
  <c r="F13" i="29"/>
  <c r="F16" i="29"/>
  <c r="F17" i="29"/>
  <c r="J12" i="29"/>
  <c r="J11" i="29"/>
  <c r="J10" i="29"/>
  <c r="E13" i="28"/>
  <c r="E16" i="28"/>
  <c r="E17" i="28"/>
  <c r="F13" i="28"/>
  <c r="F16" i="28"/>
  <c r="F17" i="28"/>
  <c r="J12" i="28"/>
  <c r="J11" i="28"/>
  <c r="J10" i="28"/>
  <c r="J12" i="27"/>
  <c r="J11" i="27"/>
  <c r="J10" i="27"/>
  <c r="E13" i="26"/>
  <c r="E16" i="26"/>
  <c r="E17" i="26"/>
  <c r="F13" i="26"/>
  <c r="F16" i="26"/>
  <c r="F17" i="26"/>
  <c r="J12" i="26"/>
  <c r="J11" i="26"/>
  <c r="J10" i="26"/>
  <c r="E13" i="25"/>
  <c r="E16" i="25"/>
  <c r="E17" i="25"/>
  <c r="F13" i="25"/>
  <c r="F16" i="25"/>
  <c r="F17" i="25"/>
  <c r="H16" i="25"/>
  <c r="H17" i="25"/>
  <c r="J9" i="25"/>
  <c r="J12" i="25"/>
  <c r="J11" i="25"/>
  <c r="J10" i="25"/>
  <c r="J12" i="24"/>
  <c r="J11" i="24"/>
  <c r="E13" i="19"/>
  <c r="E16" i="19"/>
  <c r="E17" i="19"/>
  <c r="F13" i="19"/>
  <c r="F16" i="19"/>
  <c r="F17" i="19"/>
  <c r="J12" i="19"/>
  <c r="E13" i="20"/>
  <c r="E16" i="20"/>
  <c r="E17" i="20"/>
  <c r="F13" i="20"/>
  <c r="F16" i="20"/>
  <c r="F17" i="20"/>
  <c r="J12" i="20"/>
  <c r="J11" i="20"/>
  <c r="J10" i="20"/>
  <c r="E13" i="21"/>
  <c r="E16" i="21"/>
  <c r="E17" i="21"/>
  <c r="F13" i="21"/>
  <c r="F16" i="21"/>
  <c r="F17" i="21"/>
  <c r="J12" i="21"/>
  <c r="J11" i="21"/>
  <c r="J10" i="21"/>
  <c r="E13" i="18"/>
  <c r="E16" i="18"/>
  <c r="E17" i="18"/>
  <c r="F13" i="18"/>
  <c r="F16" i="18"/>
  <c r="F17" i="18"/>
  <c r="J12" i="18"/>
  <c r="J11" i="18"/>
  <c r="J10" i="18"/>
  <c r="E13" i="17"/>
  <c r="E16" i="17"/>
  <c r="E17" i="17"/>
  <c r="F13" i="17"/>
  <c r="F16" i="17"/>
  <c r="F17" i="17"/>
  <c r="J12" i="17"/>
  <c r="J11" i="17"/>
  <c r="J10" i="17"/>
  <c r="J12" i="16"/>
  <c r="J11" i="16"/>
  <c r="J10" i="16"/>
  <c r="E13" i="15"/>
  <c r="E16" i="15"/>
  <c r="E17" i="15"/>
  <c r="F13" i="15"/>
  <c r="F16" i="15"/>
  <c r="F17" i="15"/>
  <c r="H16" i="15"/>
  <c r="H17" i="15"/>
  <c r="J9" i="15"/>
  <c r="J12" i="15"/>
  <c r="J11" i="15"/>
  <c r="J10" i="15"/>
  <c r="E13" i="14"/>
  <c r="E16" i="14"/>
  <c r="E17" i="14"/>
  <c r="F13" i="14"/>
  <c r="F16" i="14"/>
  <c r="F17" i="14"/>
  <c r="J8" i="14"/>
  <c r="J9" i="14"/>
  <c r="J12" i="14"/>
  <c r="J11" i="14"/>
  <c r="J10" i="14"/>
  <c r="E13" i="13"/>
  <c r="E16" i="13"/>
  <c r="E17" i="13"/>
  <c r="F13" i="13"/>
  <c r="F16" i="13"/>
  <c r="F17" i="13"/>
  <c r="J12" i="13"/>
  <c r="J11" i="13"/>
  <c r="J10" i="13"/>
  <c r="E13" i="12"/>
  <c r="E16" i="12"/>
  <c r="E17" i="12"/>
  <c r="F13" i="12"/>
  <c r="F16" i="12"/>
  <c r="F17" i="12"/>
  <c r="J12" i="12"/>
  <c r="J11" i="12"/>
  <c r="J10" i="12"/>
  <c r="E13" i="11"/>
  <c r="E16" i="11"/>
  <c r="E17" i="11"/>
  <c r="F13" i="11"/>
  <c r="F16" i="11"/>
  <c r="F17" i="11"/>
  <c r="J12" i="11"/>
  <c r="J11" i="11"/>
  <c r="J10" i="11"/>
  <c r="E13" i="10"/>
  <c r="E16" i="10"/>
  <c r="E17" i="10"/>
  <c r="F13" i="10"/>
  <c r="F16" i="10"/>
  <c r="F17" i="10"/>
  <c r="J12" i="10"/>
  <c r="J11" i="10"/>
  <c r="J10" i="10"/>
  <c r="E13" i="9"/>
  <c r="E16" i="9"/>
  <c r="E17" i="9"/>
  <c r="F13" i="9"/>
  <c r="F16" i="9"/>
  <c r="F17" i="9"/>
  <c r="J12" i="9"/>
  <c r="J11" i="9"/>
  <c r="J10" i="9"/>
  <c r="E13" i="8"/>
  <c r="E16" i="8"/>
  <c r="E17" i="8"/>
  <c r="F13" i="8"/>
  <c r="F16" i="8"/>
  <c r="F17" i="8"/>
  <c r="J12" i="8"/>
  <c r="J11" i="8"/>
  <c r="J10" i="8"/>
  <c r="E13" i="7"/>
  <c r="E16" i="7"/>
  <c r="E17" i="7"/>
  <c r="F13" i="7"/>
  <c r="F16" i="7"/>
  <c r="F17" i="7"/>
  <c r="H13" i="7"/>
  <c r="J12" i="7"/>
  <c r="J11" i="7"/>
  <c r="J10" i="7"/>
  <c r="E13" i="6"/>
  <c r="E16" i="6"/>
  <c r="E17" i="6"/>
  <c r="F13" i="6"/>
  <c r="F16" i="6"/>
  <c r="F17" i="6"/>
  <c r="H13" i="6"/>
  <c r="H16" i="6"/>
  <c r="H17" i="6"/>
  <c r="J8" i="6"/>
  <c r="J9" i="6"/>
  <c r="J12" i="6"/>
  <c r="J11" i="6"/>
  <c r="J10" i="6"/>
  <c r="J12" i="4"/>
  <c r="J11" i="4"/>
  <c r="J10" i="4"/>
  <c r="F13" i="3"/>
  <c r="F16" i="3"/>
  <c r="F17" i="3"/>
  <c r="H13" i="3"/>
  <c r="J12" i="3"/>
  <c r="J11" i="3"/>
  <c r="J10" i="3"/>
  <c r="E13" i="22"/>
  <c r="E16" i="22"/>
  <c r="E17" i="22"/>
  <c r="F13" i="22"/>
  <c r="F16" i="22"/>
  <c r="F17" i="22"/>
  <c r="J12" i="22"/>
  <c r="J11" i="22"/>
  <c r="J10" i="22"/>
  <c r="E13" i="23"/>
  <c r="E16" i="23"/>
  <c r="E17" i="23"/>
  <c r="F13" i="23"/>
  <c r="F16" i="23"/>
  <c r="F17" i="23"/>
  <c r="J12" i="23"/>
  <c r="J11" i="23"/>
  <c r="J10" i="23"/>
  <c r="E13" i="2"/>
  <c r="E16" i="2"/>
  <c r="E17" i="2"/>
  <c r="F13" i="2"/>
  <c r="F16" i="2"/>
  <c r="F17" i="2"/>
  <c r="D13" i="1"/>
  <c r="J13" i="1"/>
  <c r="K16" i="2"/>
  <c r="K17" i="2"/>
  <c r="J14" i="1"/>
  <c r="D56" i="33"/>
  <c r="I49" i="33"/>
  <c r="I51" i="33"/>
  <c r="K54" i="33"/>
  <c r="K55" i="33"/>
  <c r="G59" i="33"/>
  <c r="H59" i="33"/>
  <c r="D49" i="33"/>
  <c r="D51" i="33"/>
  <c r="D59" i="33"/>
  <c r="K59" i="33"/>
  <c r="D54" i="33"/>
  <c r="M49" i="33"/>
  <c r="M51" i="33"/>
  <c r="M53" i="33"/>
  <c r="M56" i="33"/>
  <c r="M54" i="33"/>
  <c r="H55" i="33"/>
  <c r="H54" i="33"/>
  <c r="I54" i="33"/>
  <c r="J17" i="1"/>
  <c r="J16" i="1"/>
  <c r="K13" i="1"/>
  <c r="K16" i="1"/>
  <c r="J45" i="1"/>
  <c r="G44" i="1"/>
  <c r="H44" i="1"/>
  <c r="D16" i="1"/>
  <c r="D45" i="1"/>
  <c r="D44" i="1"/>
  <c r="J44" i="1"/>
  <c r="K9" i="1"/>
  <c r="M9" i="1"/>
  <c r="K10" i="1"/>
  <c r="M10" i="1"/>
  <c r="K11" i="1"/>
  <c r="M11" i="1"/>
  <c r="K12" i="1"/>
  <c r="M12" i="1"/>
  <c r="K14" i="1"/>
  <c r="M14" i="1"/>
  <c r="K8" i="1"/>
  <c r="M8" i="1"/>
  <c r="M16" i="1"/>
  <c r="P9" i="1"/>
  <c r="P10" i="1"/>
  <c r="P11" i="1"/>
  <c r="P12" i="1"/>
  <c r="P13" i="1"/>
  <c r="P8" i="1"/>
  <c r="P16" i="1"/>
  <c r="J18" i="1"/>
  <c r="J19" i="1"/>
</calcChain>
</file>

<file path=xl/comments1.xml><?xml version="1.0" encoding="utf-8"?>
<comments xmlns="http://schemas.openxmlformats.org/spreadsheetml/2006/main">
  <authors>
    <author>Constantinos Mylonas</author>
  </authors>
  <commentList>
    <comment ref="B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You must include overheads.  60% of (direct+personnel)</t>
        </r>
      </text>
    </comment>
    <comment ref="J17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must be 70,000</t>
        </r>
      </text>
    </comment>
  </commentList>
</comments>
</file>

<file path=xl/comments2.xml><?xml version="1.0" encoding="utf-8"?>
<comments xmlns="http://schemas.openxmlformats.org/spreadsheetml/2006/main">
  <authors>
    <author>Constantinos Mylonas</author>
  </authors>
  <commentList>
    <comment ref="M8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amount has already been added to the new budget.</t>
        </r>
      </text>
    </comment>
    <comment ref="M9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This amount should be allocated to the appropirate categories.  This TOTAL additional EU contribution.  So, the Total additional budget should include the 25% contribution of the partner.</t>
        </r>
      </text>
    </comment>
  </commentList>
</comments>
</file>

<file path=xl/comments3.xml><?xml version="1.0" encoding="utf-8"?>
<comments xmlns="http://schemas.openxmlformats.org/spreadsheetml/2006/main">
  <authors>
    <author>Constantinos Mylonas</author>
  </authors>
  <commentList>
    <comment ref="C14" authorId="0">
      <text>
        <r>
          <rPr>
            <b/>
            <sz val="9"/>
            <color indexed="81"/>
            <rFont val="Calibri"/>
            <family val="2"/>
          </rPr>
          <t>Constantinos Mylonas:</t>
        </r>
        <r>
          <rPr>
            <sz val="9"/>
            <color indexed="81"/>
            <rFont val="Calibri"/>
            <family val="2"/>
          </rPr>
          <t xml:space="preserve">
Check the overheads rate
</t>
        </r>
      </text>
    </comment>
  </commentList>
</comments>
</file>

<file path=xl/sharedStrings.xml><?xml version="1.0" encoding="utf-8"?>
<sst xmlns="http://schemas.openxmlformats.org/spreadsheetml/2006/main" count="1523" uniqueCount="216">
  <si>
    <t>DIVERSIFY</t>
  </si>
  <si>
    <t>KBBE 2013.1.2.09. Diversification of fish species and products in aquaculture</t>
  </si>
  <si>
    <t>Demonstration</t>
  </si>
  <si>
    <t>Support</t>
  </si>
  <si>
    <t>Subcontracting</t>
  </si>
  <si>
    <t>Personnel costs</t>
  </si>
  <si>
    <t>Total budget</t>
  </si>
  <si>
    <t>Total</t>
  </si>
  <si>
    <t>RTD (WPs 2-7)</t>
  </si>
  <si>
    <t>Management (WP 1)</t>
  </si>
  <si>
    <t>Other (WP8 Dissemination)</t>
  </si>
  <si>
    <t>Requested EU contribution</t>
  </si>
  <si>
    <t>Consumables</t>
  </si>
  <si>
    <t>Travel</t>
  </si>
  <si>
    <t>Equipment</t>
  </si>
  <si>
    <t>sub Total</t>
  </si>
  <si>
    <t>For non-SMEs (Skretting and Silver White Halibut)</t>
  </si>
  <si>
    <t>For RTDs and SMEs (all Partners except SARC and SWH)</t>
  </si>
  <si>
    <t>Indirect costs (overheads)</t>
  </si>
  <si>
    <t>Other direct costs **</t>
  </si>
  <si>
    <t>** Note:  The A3.1 form does not require breakdown of direct costs, but I would like to know, as I will report in the proposal in another section.</t>
  </si>
  <si>
    <t>1. HCMR</t>
  </si>
  <si>
    <t>A3.1</t>
  </si>
  <si>
    <t>A3.1.Partner</t>
  </si>
  <si>
    <t>2.FCPCT</t>
  </si>
  <si>
    <t>3.IRTA</t>
  </si>
  <si>
    <t>4.IOLR</t>
  </si>
  <si>
    <t>31.IRIDA</t>
  </si>
  <si>
    <t>5.UNIABD</t>
  </si>
  <si>
    <t>10. TU/e</t>
  </si>
  <si>
    <t>9.UL</t>
  </si>
  <si>
    <t>IEO</t>
  </si>
  <si>
    <t>IMR</t>
  </si>
  <si>
    <t>6.LEI</t>
  </si>
  <si>
    <t>11.AU</t>
  </si>
  <si>
    <t>12.APROMAR</t>
  </si>
  <si>
    <t>13.UNIBA</t>
  </si>
  <si>
    <t>14.IFREMER</t>
  </si>
  <si>
    <t>15.ULL</t>
  </si>
  <si>
    <t>16.FUNDP</t>
  </si>
  <si>
    <t>17.NIFES</t>
  </si>
  <si>
    <t>18.CTAQUA</t>
  </si>
  <si>
    <t>19.CMRM</t>
  </si>
  <si>
    <t>20.SARC</t>
  </si>
  <si>
    <t>21.DTU</t>
  </si>
  <si>
    <t>22.SWH</t>
  </si>
  <si>
    <t>29.ASIALOR</t>
  </si>
  <si>
    <t>28.CANEXMAR</t>
  </si>
  <si>
    <t>27.FORKYS</t>
  </si>
  <si>
    <t>26.GEI</t>
  </si>
  <si>
    <t>24.ITICAL</t>
  </si>
  <si>
    <t>23.ARGO</t>
  </si>
  <si>
    <t>%</t>
  </si>
  <si>
    <t>Participant no./short name</t>
  </si>
  <si>
    <t>3. IRTA</t>
  </si>
  <si>
    <t>4. IOLR</t>
  </si>
  <si>
    <t>5. UNIABDN</t>
  </si>
  <si>
    <t>7. IMR</t>
  </si>
  <si>
    <t>8. IEO</t>
  </si>
  <si>
    <t>9. UL</t>
  </si>
  <si>
    <t>11. AU</t>
  </si>
  <si>
    <t>12. APROMAR</t>
  </si>
  <si>
    <t>13. UNIBA</t>
  </si>
  <si>
    <t>14. IFREMER</t>
  </si>
  <si>
    <t>15. ULL</t>
  </si>
  <si>
    <t>16. FUNDP</t>
  </si>
  <si>
    <t>17. NIFES</t>
  </si>
  <si>
    <t>18. CTAQUA</t>
  </si>
  <si>
    <t>19. CMRM</t>
  </si>
  <si>
    <t>20. SARC</t>
  </si>
  <si>
    <t>21. DTU</t>
  </si>
  <si>
    <t>22. SWH</t>
  </si>
  <si>
    <t>23. ARGO</t>
  </si>
  <si>
    <t>24. ITTICAL</t>
  </si>
  <si>
    <t>26. GEI</t>
  </si>
  <si>
    <t>27. FORKYS</t>
  </si>
  <si>
    <t>28. CANEXMAR</t>
  </si>
  <si>
    <t>29. ASIALOR</t>
  </si>
  <si>
    <t>31. IRIDA</t>
  </si>
  <si>
    <t>TOTAL Budget EU</t>
  </si>
  <si>
    <t>RTD budget EU</t>
  </si>
  <si>
    <t>SME budget EU</t>
  </si>
  <si>
    <t>SME/RTD</t>
  </si>
  <si>
    <t>RTD</t>
  </si>
  <si>
    <t>Mgmt</t>
  </si>
  <si>
    <t>Requested EU</t>
  </si>
  <si>
    <t>2. FCPCT</t>
  </si>
  <si>
    <t>Demo</t>
  </si>
  <si>
    <t>SME</t>
  </si>
  <si>
    <t>TOTAL</t>
  </si>
  <si>
    <t>Other (Dissemination)</t>
  </si>
  <si>
    <t>RTD (WP2-7)</t>
  </si>
  <si>
    <t>Indirect costs (overheads)f</t>
  </si>
  <si>
    <t>Indirect costs</t>
  </si>
  <si>
    <t>Personnel</t>
  </si>
  <si>
    <t>Management</t>
  </si>
  <si>
    <t>Dissemination</t>
  </si>
  <si>
    <t>This was provided by SWH earlier, as oveheads.</t>
  </si>
  <si>
    <t>Overheads are 56% of personnel</t>
  </si>
  <si>
    <t>Matching funds</t>
  </si>
  <si>
    <t>% of Total budget</t>
  </si>
  <si>
    <t>Actual indirect costs (81% Personnel)</t>
  </si>
  <si>
    <t>SMEs</t>
  </si>
  <si>
    <t>RTDs</t>
  </si>
  <si>
    <t>New</t>
  </si>
  <si>
    <t>37. EUFIC</t>
  </si>
  <si>
    <t>Confirmed</t>
  </si>
  <si>
    <t>minus 1 euro for rounding</t>
  </si>
  <si>
    <t>minu s 1 euro for rounding</t>
  </si>
  <si>
    <t>34. BVFi</t>
  </si>
  <si>
    <t>For Partners with 60% "Special transitional flat rate" for overheads</t>
  </si>
  <si>
    <t>EU Funding 75%</t>
  </si>
  <si>
    <t>SME?</t>
  </si>
  <si>
    <t>minus 1 for rounding</t>
  </si>
  <si>
    <t>36. ANFACO</t>
  </si>
  <si>
    <t>20% flat rate</t>
  </si>
  <si>
    <t>35 MASZ</t>
  </si>
  <si>
    <t>33. FGM</t>
  </si>
  <si>
    <t>32. MC2</t>
  </si>
  <si>
    <t>35. MASZ</t>
  </si>
  <si>
    <t>Special Transitional 60%</t>
  </si>
  <si>
    <t>Flat rate 20%</t>
  </si>
  <si>
    <t>50% EU funding</t>
  </si>
  <si>
    <t>75% EU funding</t>
  </si>
  <si>
    <t xml:space="preserve">Actual indirect costs </t>
  </si>
  <si>
    <t>Simplifided method (20%)</t>
  </si>
  <si>
    <t>Other direct costs</t>
  </si>
  <si>
    <t>50% Personnel</t>
  </si>
  <si>
    <t>Transitional 60%</t>
  </si>
  <si>
    <t>transitional 60%</t>
  </si>
  <si>
    <t>tansitional 60%</t>
  </si>
  <si>
    <t>Special transitional (60% total)</t>
  </si>
  <si>
    <t>minu s1 for rouhnding</t>
  </si>
  <si>
    <t>Special transitional 60%</t>
  </si>
  <si>
    <t>Added 2400 EU for Socioeconomics participation</t>
  </si>
  <si>
    <t>25. DOR (ISR)</t>
  </si>
  <si>
    <t>Simplified method 80% of personnel)</t>
  </si>
  <si>
    <t/>
  </si>
  <si>
    <t>38. HRH SME</t>
  </si>
  <si>
    <t>60%???</t>
  </si>
  <si>
    <t>Subcontract was 56,000</t>
  </si>
  <si>
    <t>The budget must be adjusted depending on the outcome o fhte HRH budget agreement!!!!</t>
  </si>
  <si>
    <t>Large enterprise</t>
  </si>
  <si>
    <t>38. HRH</t>
  </si>
  <si>
    <t>Define how you estimate these please</t>
  </si>
  <si>
    <t>Comments:</t>
  </si>
  <si>
    <t>Added 3000 EU for Socioeconomics participation</t>
  </si>
  <si>
    <t>2 Aug 2013</t>
  </si>
  <si>
    <t>Actual indirect costs</t>
  </si>
  <si>
    <t>Comments</t>
  </si>
  <si>
    <t>5 Aug 2013</t>
  </si>
  <si>
    <t>6 Aug 2013</t>
  </si>
  <si>
    <t>Marisol compalined that I removed 1600 from their Mgmt budget (the correct amount was 2600, and was removed due to the overall 0.4% cut in all Partners in June</t>
  </si>
  <si>
    <t>Note that they did not claim any budget in Mgmt, even thought hey have 5 PM.  I did not change nor tell them anything!</t>
  </si>
  <si>
    <t>26 PMs (instead of the original 18 PM in the proposal)</t>
  </si>
  <si>
    <t>90,000 personnel cost instead of 55,000 in the proposal</t>
  </si>
  <si>
    <t>8 Aug 2013</t>
  </si>
  <si>
    <t>Final Agreed,  The above is with some more personnel costs to use up all the budget and increase their PMs</t>
  </si>
  <si>
    <t>25. DOR</t>
  </si>
  <si>
    <t>As of 8 Aug 2013</t>
  </si>
  <si>
    <t>26 Sep 2013</t>
  </si>
  <si>
    <t>I removed 800 euro from the Mgmt budget (reduced Travel)</t>
  </si>
  <si>
    <t>Missing the budget for the additional 25,00 EU in Socioeco</t>
  </si>
  <si>
    <t>Granted</t>
  </si>
  <si>
    <t>Deficit</t>
  </si>
  <si>
    <t>30 Sept 2013</t>
  </si>
  <si>
    <t>60% flat rate</t>
  </si>
  <si>
    <t>1 Oct 2013</t>
  </si>
  <si>
    <t>Before the addition of 25,000 EU for WP28</t>
  </si>
  <si>
    <t>should be with the 25,000 for Wp28</t>
  </si>
  <si>
    <t>LARGE</t>
  </si>
  <si>
    <t>I never received any confirmation or changes from FCPCT</t>
  </si>
  <si>
    <t>14 Sep 2013</t>
  </si>
  <si>
    <t>Actual DOW requested</t>
  </si>
  <si>
    <t>(minus for rounding)</t>
  </si>
  <si>
    <t>30. CULMAREX</t>
  </si>
  <si>
    <t>Must rework the budget</t>
  </si>
  <si>
    <t>Actual indirect costs (87 of Personnel)</t>
  </si>
  <si>
    <t>MAREMAR budget</t>
  </si>
  <si>
    <t>Original from DOW</t>
  </si>
  <si>
    <t>Original DOW</t>
  </si>
  <si>
    <t>After change with ITTICAL</t>
  </si>
  <si>
    <t>Additional EU contribution</t>
  </si>
  <si>
    <t>63% of personnel</t>
  </si>
  <si>
    <t>Additional because of ITTICAL (WP3.1)</t>
  </si>
  <si>
    <t>Add some more for traveling to Italy/Greece to receive the samples from WP3.1</t>
  </si>
  <si>
    <t>Ammendment 2 (ITTICAL/CULMAREX)</t>
  </si>
  <si>
    <t>added 5,000 additional travel costs</t>
  </si>
  <si>
    <t>Actual indirect costs (87 of direct)</t>
  </si>
  <si>
    <t>The budget is what was declared for 1st Period and approved</t>
  </si>
  <si>
    <t>Added 1,000 for travel</t>
  </si>
  <si>
    <t>For the purchase of a thermal cycler</t>
  </si>
  <si>
    <t>Less travel because no CULMAREX (moved to consumables)</t>
  </si>
  <si>
    <t>40. GMF</t>
  </si>
  <si>
    <t>39. Fish 2 BE SME</t>
  </si>
  <si>
    <t>Amend 2</t>
  </si>
  <si>
    <t>Amend 3</t>
  </si>
  <si>
    <t>Ammendment 3</t>
  </si>
  <si>
    <t>this is the total amount requested and validated by the EU for the 1 and 2 PR</t>
  </si>
  <si>
    <t>The amount we have in the RTD and MGT categories should agree with the ones claimed in the above reports</t>
  </si>
  <si>
    <t>Right now they are there just to agree with the total!!!!</t>
  </si>
  <si>
    <t>Amendment 3</t>
  </si>
  <si>
    <t>Check if the amount they indicated to change is Total or EU budget</t>
  </si>
  <si>
    <t>plus overheads</t>
  </si>
  <si>
    <t>From AU</t>
  </si>
  <si>
    <t>28335 personnel + overheads (60%)</t>
  </si>
  <si>
    <t>I need to know exactly the allocation.  Ask Hellas</t>
  </si>
  <si>
    <t>39. F2B</t>
  </si>
  <si>
    <t>EU contribution</t>
  </si>
  <si>
    <t>Total budget amount</t>
  </si>
  <si>
    <t>Yannis: indirect RTD is 42460 and not 42461. Also Indirect Management is 841 and not 842. Maybe their simplified method is a little bit different?</t>
  </si>
  <si>
    <t>Ammendment 3 (ITTICAL/ASIALOR)</t>
  </si>
  <si>
    <t>Budget according to the 3rd amendment</t>
  </si>
  <si>
    <t>In red color text, the budgets that will be modified with the 3rd amendment</t>
  </si>
  <si>
    <t>Exit</t>
  </si>
  <si>
    <t>6. SWR (DLO)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</si>
</sst>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€&quot;* #,##0.00_-;\-&quot;€&quot;* #,##0.00_-;_-&quot;€&quot;* &quot;-&quot;??_-;_-@_-"/>
    <numFmt numFmtId="164" formatCode="#,##0\ [$€-408]"/>
    <numFmt numFmtId="165" formatCode="0.0"/>
    <numFmt numFmtId="166" formatCode="#,##0\ [$€-1]"/>
    <numFmt numFmtId="167" formatCode="0.0%"/>
    <numFmt numFmtId="168" formatCode="&quot;€&quot;#,##0"/>
    <numFmt numFmtId="169" formatCode="#,##0.00\ [$€-408]"/>
    <numFmt numFmtId="170" formatCode="#,##0.00\ [$€-1]"/>
    <numFmt numFmtId="171" formatCode="&quot;€&quot;#,##0.00;[Red]&quot;€&quot;#,##0.00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</font>
    <font>
      <b/>
      <sz val="12"/>
      <color indexed="8"/>
      <name val="Times New Roman"/>
    </font>
    <font>
      <sz val="12"/>
      <name val="Times New Roman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Times New Roman"/>
    </font>
    <font>
      <b/>
      <sz val="12"/>
      <color rgb="FF3366FF"/>
      <name val="Times New Roman"/>
    </font>
    <font>
      <sz val="12"/>
      <color indexed="10"/>
      <name val="Times New Roman"/>
    </font>
    <font>
      <b/>
      <sz val="12"/>
      <color rgb="FF000000"/>
      <name val="Times New Roman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4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6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9" fillId="3" borderId="0" xfId="0" applyFont="1" applyFill="1"/>
    <xf numFmtId="0" fontId="10" fillId="4" borderId="0" xfId="0" applyFont="1" applyFill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1" fillId="5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0" borderId="0" xfId="0" applyFont="1" applyBorder="1"/>
    <xf numFmtId="0" fontId="10" fillId="5" borderId="0" xfId="0" applyFont="1" applyFill="1" applyBorder="1"/>
    <xf numFmtId="164" fontId="10" fillId="5" borderId="1" xfId="0" applyNumberFormat="1" applyFont="1" applyFill="1" applyBorder="1" applyAlignment="1" applyProtection="1">
      <alignment horizontal="right" vertical="center"/>
      <protection locked="0"/>
    </xf>
    <xf numFmtId="164" fontId="10" fillId="5" borderId="2" xfId="0" applyNumberFormat="1" applyFont="1" applyFill="1" applyBorder="1" applyAlignment="1" applyProtection="1">
      <alignment horizontal="right" vertical="center"/>
    </xf>
    <xf numFmtId="164" fontId="10" fillId="5" borderId="2" xfId="0" applyNumberFormat="1" applyFont="1" applyFill="1" applyBorder="1" applyAlignment="1" applyProtection="1">
      <alignment horizontal="right" vertical="center"/>
      <protection locked="0"/>
    </xf>
    <xf numFmtId="164" fontId="10" fillId="5" borderId="3" xfId="0" applyNumberFormat="1" applyFont="1" applyFill="1" applyBorder="1" applyAlignment="1" applyProtection="1">
      <alignment horizontal="right" vertical="center"/>
      <protection locked="0"/>
    </xf>
    <xf numFmtId="164" fontId="10" fillId="5" borderId="0" xfId="0" applyNumberFormat="1" applyFont="1" applyFill="1" applyBorder="1" applyAlignment="1">
      <alignment horizontal="right" vertical="center"/>
    </xf>
    <xf numFmtId="164" fontId="10" fillId="5" borderId="4" xfId="0" applyNumberFormat="1" applyFont="1" applyFill="1" applyBorder="1" applyAlignment="1">
      <alignment horizontal="right" vertical="center"/>
    </xf>
    <xf numFmtId="164" fontId="10" fillId="5" borderId="5" xfId="0" applyNumberFormat="1" applyFont="1" applyFill="1" applyBorder="1" applyAlignment="1" applyProtection="1">
      <alignment horizontal="right" vertical="center"/>
      <protection locked="0"/>
    </xf>
    <xf numFmtId="164" fontId="10" fillId="5" borderId="6" xfId="0" applyNumberFormat="1" applyFont="1" applyFill="1" applyBorder="1" applyAlignment="1" applyProtection="1">
      <alignment horizontal="right" vertical="center"/>
    </xf>
    <xf numFmtId="164" fontId="10" fillId="5" borderId="6" xfId="0" applyNumberFormat="1" applyFont="1" applyFill="1" applyBorder="1" applyAlignment="1" applyProtection="1">
      <alignment horizontal="right" vertical="center"/>
      <protection locked="0"/>
    </xf>
    <xf numFmtId="164" fontId="10" fillId="5" borderId="7" xfId="0" applyNumberFormat="1" applyFont="1" applyFill="1" applyBorder="1" applyAlignment="1" applyProtection="1">
      <alignment horizontal="right" vertical="center"/>
      <protection locked="0"/>
    </xf>
    <xf numFmtId="164" fontId="10" fillId="5" borderId="8" xfId="0" applyNumberFormat="1" applyFont="1" applyFill="1" applyBorder="1" applyAlignment="1">
      <alignment horizontal="right" vertical="center"/>
    </xf>
    <xf numFmtId="164" fontId="10" fillId="5" borderId="5" xfId="0" applyNumberFormat="1" applyFont="1" applyFill="1" applyBorder="1" applyAlignment="1" applyProtection="1">
      <alignment horizontal="right" vertical="center"/>
    </xf>
    <xf numFmtId="164" fontId="10" fillId="5" borderId="7" xfId="0" applyNumberFormat="1" applyFont="1" applyFill="1" applyBorder="1" applyAlignment="1" applyProtection="1">
      <alignment horizontal="right" vertical="center"/>
    </xf>
    <xf numFmtId="164" fontId="10" fillId="5" borderId="9" xfId="0" applyNumberFormat="1" applyFont="1" applyFill="1" applyBorder="1" applyAlignment="1" applyProtection="1">
      <alignment horizontal="right" vertical="center"/>
      <protection locked="0"/>
    </xf>
    <xf numFmtId="164" fontId="10" fillId="5" borderId="10" xfId="0" applyNumberFormat="1" applyFont="1" applyFill="1" applyBorder="1" applyAlignment="1" applyProtection="1">
      <alignment horizontal="right" vertical="center"/>
    </xf>
    <xf numFmtId="164" fontId="10" fillId="5" borderId="10" xfId="0" applyNumberFormat="1" applyFont="1" applyFill="1" applyBorder="1" applyAlignment="1" applyProtection="1">
      <alignment horizontal="right" vertical="center"/>
      <protection locked="0"/>
    </xf>
    <xf numFmtId="164" fontId="10" fillId="5" borderId="11" xfId="0" applyNumberFormat="1" applyFont="1" applyFill="1" applyBorder="1" applyAlignment="1" applyProtection="1">
      <alignment horizontal="right" vertical="center"/>
      <protection locked="0"/>
    </xf>
    <xf numFmtId="164" fontId="10" fillId="5" borderId="12" xfId="0" applyNumberFormat="1" applyFont="1" applyFill="1" applyBorder="1" applyAlignment="1">
      <alignment horizontal="right" vertical="center"/>
    </xf>
    <xf numFmtId="164" fontId="10" fillId="5" borderId="0" xfId="0" applyNumberFormat="1" applyFont="1" applyFill="1" applyAlignment="1">
      <alignment horizontal="right" vertical="center"/>
    </xf>
    <xf numFmtId="164" fontId="10" fillId="5" borderId="1" xfId="0" applyNumberFormat="1" applyFont="1" applyFill="1" applyBorder="1" applyAlignment="1">
      <alignment horizontal="right" vertical="center"/>
    </xf>
    <xf numFmtId="164" fontId="10" fillId="5" borderId="2" xfId="0" applyNumberFormat="1" applyFont="1" applyFill="1" applyBorder="1" applyAlignment="1">
      <alignment horizontal="right" vertical="center"/>
    </xf>
    <xf numFmtId="164" fontId="10" fillId="5" borderId="3" xfId="0" applyNumberFormat="1" applyFont="1" applyFill="1" applyBorder="1" applyAlignment="1">
      <alignment horizontal="right" vertical="center"/>
    </xf>
    <xf numFmtId="164" fontId="10" fillId="5" borderId="9" xfId="0" applyNumberFormat="1" applyFont="1" applyFill="1" applyBorder="1" applyAlignment="1">
      <alignment horizontal="right" vertical="center"/>
    </xf>
    <xf numFmtId="164" fontId="10" fillId="5" borderId="10" xfId="0" applyNumberFormat="1" applyFont="1" applyFill="1" applyBorder="1" applyAlignment="1">
      <alignment horizontal="right" vertical="center"/>
    </xf>
    <xf numFmtId="164" fontId="10" fillId="5" borderId="11" xfId="0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5" borderId="0" xfId="0" applyFont="1" applyFill="1"/>
    <xf numFmtId="0" fontId="11" fillId="5" borderId="0" xfId="0" applyFont="1" applyFill="1"/>
    <xf numFmtId="0" fontId="11" fillId="6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164" fontId="10" fillId="6" borderId="1" xfId="0" applyNumberFormat="1" applyFont="1" applyFill="1" applyBorder="1" applyAlignment="1" applyProtection="1">
      <alignment horizontal="right" vertical="center"/>
      <protection locked="0"/>
    </xf>
    <xf numFmtId="164" fontId="10" fillId="6" borderId="2" xfId="0" applyNumberFormat="1" applyFont="1" applyFill="1" applyBorder="1" applyAlignment="1" applyProtection="1">
      <alignment horizontal="right" vertical="center"/>
    </xf>
    <xf numFmtId="164" fontId="10" fillId="6" borderId="2" xfId="0" applyNumberFormat="1" applyFont="1" applyFill="1" applyBorder="1" applyAlignment="1" applyProtection="1">
      <alignment horizontal="right" vertical="center"/>
      <protection locked="0"/>
    </xf>
    <xf numFmtId="164" fontId="10" fillId="6" borderId="3" xfId="0" applyNumberFormat="1" applyFont="1" applyFill="1" applyBorder="1" applyAlignment="1" applyProtection="1">
      <alignment horizontal="right" vertical="center"/>
      <protection locked="0"/>
    </xf>
    <xf numFmtId="164" fontId="10" fillId="6" borderId="0" xfId="0" applyNumberFormat="1" applyFont="1" applyFill="1" applyBorder="1" applyAlignment="1">
      <alignment horizontal="right" vertical="center"/>
    </xf>
    <xf numFmtId="164" fontId="10" fillId="6" borderId="4" xfId="0" applyNumberFormat="1" applyFont="1" applyFill="1" applyBorder="1" applyAlignment="1">
      <alignment horizontal="right" vertical="center"/>
    </xf>
    <xf numFmtId="164" fontId="10" fillId="6" borderId="5" xfId="0" applyNumberFormat="1" applyFont="1" applyFill="1" applyBorder="1" applyAlignment="1" applyProtection="1">
      <alignment horizontal="right" vertical="center"/>
      <protection locked="0"/>
    </xf>
    <xf numFmtId="164" fontId="10" fillId="6" borderId="6" xfId="0" applyNumberFormat="1" applyFont="1" applyFill="1" applyBorder="1" applyAlignment="1" applyProtection="1">
      <alignment horizontal="right" vertical="center"/>
    </xf>
    <xf numFmtId="164" fontId="10" fillId="6" borderId="6" xfId="0" applyNumberFormat="1" applyFont="1" applyFill="1" applyBorder="1" applyAlignment="1" applyProtection="1">
      <alignment horizontal="right" vertical="center"/>
      <protection locked="0"/>
    </xf>
    <xf numFmtId="164" fontId="10" fillId="6" borderId="7" xfId="0" applyNumberFormat="1" applyFont="1" applyFill="1" applyBorder="1" applyAlignment="1" applyProtection="1">
      <alignment horizontal="right" vertical="center"/>
      <protection locked="0"/>
    </xf>
    <xf numFmtId="164" fontId="10" fillId="6" borderId="8" xfId="0" applyNumberFormat="1" applyFont="1" applyFill="1" applyBorder="1" applyAlignment="1">
      <alignment horizontal="right" vertical="center"/>
    </xf>
    <xf numFmtId="164" fontId="10" fillId="6" borderId="5" xfId="0" applyNumberFormat="1" applyFont="1" applyFill="1" applyBorder="1" applyAlignment="1" applyProtection="1">
      <alignment horizontal="right" vertical="center"/>
    </xf>
    <xf numFmtId="164" fontId="10" fillId="6" borderId="7" xfId="0" applyNumberFormat="1" applyFont="1" applyFill="1" applyBorder="1" applyAlignment="1" applyProtection="1">
      <alignment horizontal="right" vertical="center"/>
    </xf>
    <xf numFmtId="164" fontId="10" fillId="6" borderId="9" xfId="0" applyNumberFormat="1" applyFont="1" applyFill="1" applyBorder="1" applyAlignment="1" applyProtection="1">
      <alignment horizontal="right" vertical="center"/>
      <protection locked="0"/>
    </xf>
    <xf numFmtId="164" fontId="10" fillId="6" borderId="10" xfId="0" applyNumberFormat="1" applyFont="1" applyFill="1" applyBorder="1" applyAlignment="1" applyProtection="1">
      <alignment horizontal="right" vertical="center"/>
    </xf>
    <xf numFmtId="164" fontId="10" fillId="6" borderId="10" xfId="0" applyNumberFormat="1" applyFont="1" applyFill="1" applyBorder="1" applyAlignment="1" applyProtection="1">
      <alignment horizontal="right" vertical="center"/>
      <protection locked="0"/>
    </xf>
    <xf numFmtId="164" fontId="10" fillId="6" borderId="11" xfId="0" applyNumberFormat="1" applyFont="1" applyFill="1" applyBorder="1" applyAlignment="1" applyProtection="1">
      <alignment horizontal="right" vertical="center"/>
      <protection locked="0"/>
    </xf>
    <xf numFmtId="164" fontId="10" fillId="6" borderId="12" xfId="0" applyNumberFormat="1" applyFont="1" applyFill="1" applyBorder="1" applyAlignment="1">
      <alignment horizontal="right" vertical="center"/>
    </xf>
    <xf numFmtId="164" fontId="10" fillId="6" borderId="0" xfId="0" applyNumberFormat="1" applyFont="1" applyFill="1" applyAlignment="1">
      <alignment horizontal="right" vertical="center"/>
    </xf>
    <xf numFmtId="164" fontId="10" fillId="6" borderId="1" xfId="0" applyNumberFormat="1" applyFont="1" applyFill="1" applyBorder="1" applyAlignment="1">
      <alignment horizontal="right" vertical="center"/>
    </xf>
    <xf numFmtId="164" fontId="10" fillId="6" borderId="2" xfId="0" applyNumberFormat="1" applyFont="1" applyFill="1" applyBorder="1" applyAlignment="1">
      <alignment horizontal="right" vertical="center"/>
    </xf>
    <xf numFmtId="164" fontId="10" fillId="6" borderId="3" xfId="0" applyNumberFormat="1" applyFont="1" applyFill="1" applyBorder="1" applyAlignment="1">
      <alignment horizontal="right" vertical="center"/>
    </xf>
    <xf numFmtId="164" fontId="10" fillId="6" borderId="9" xfId="0" applyNumberFormat="1" applyFont="1" applyFill="1" applyBorder="1" applyAlignment="1">
      <alignment horizontal="right" vertical="center"/>
    </xf>
    <xf numFmtId="164" fontId="10" fillId="6" borderId="10" xfId="0" applyNumberFormat="1" applyFont="1" applyFill="1" applyBorder="1" applyAlignment="1">
      <alignment horizontal="right" vertical="center"/>
    </xf>
    <xf numFmtId="164" fontId="10" fillId="6" borderId="11" xfId="0" applyNumberFormat="1" applyFont="1" applyFill="1" applyBorder="1" applyAlignment="1">
      <alignment horizontal="right" vertical="center"/>
    </xf>
    <xf numFmtId="0" fontId="13" fillId="6" borderId="0" xfId="0" applyFont="1" applyFill="1"/>
    <xf numFmtId="0" fontId="10" fillId="6" borderId="0" xfId="0" applyFont="1" applyFill="1" applyAlignment="1">
      <alignment horizontal="center"/>
    </xf>
    <xf numFmtId="0" fontId="10" fillId="6" borderId="0" xfId="0" applyFont="1" applyFill="1" applyBorder="1"/>
    <xf numFmtId="0" fontId="10" fillId="5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1" fillId="5" borderId="7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right" vertical="center" wrapText="1"/>
    </xf>
    <xf numFmtId="0" fontId="11" fillId="6" borderId="13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1" fillId="5" borderId="13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vertical="center" wrapText="1"/>
    </xf>
    <xf numFmtId="0" fontId="10" fillId="7" borderId="0" xfId="0" applyFont="1" applyFill="1"/>
    <xf numFmtId="0" fontId="10" fillId="5" borderId="17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right" vertical="center" wrapText="1"/>
    </xf>
    <xf numFmtId="0" fontId="11" fillId="5" borderId="18" xfId="0" applyFont="1" applyFill="1" applyBorder="1" applyAlignment="1">
      <alignment horizontal="right" vertical="center" wrapText="1"/>
    </xf>
    <xf numFmtId="0" fontId="10" fillId="5" borderId="19" xfId="0" applyFont="1" applyFill="1" applyBorder="1" applyAlignment="1">
      <alignment vertical="center" wrapText="1"/>
    </xf>
    <xf numFmtId="164" fontId="10" fillId="5" borderId="0" xfId="0" applyNumberFormat="1" applyFont="1" applyFill="1" applyBorder="1" applyAlignment="1" applyProtection="1">
      <alignment horizontal="right" vertical="center"/>
    </xf>
    <xf numFmtId="165" fontId="10" fillId="0" borderId="0" xfId="0" applyNumberFormat="1" applyFont="1"/>
    <xf numFmtId="0" fontId="10" fillId="0" borderId="0" xfId="0" applyFont="1" applyProtection="1"/>
    <xf numFmtId="0" fontId="10" fillId="0" borderId="0" xfId="0" applyFont="1" applyFill="1" applyProtection="1"/>
    <xf numFmtId="0" fontId="5" fillId="0" borderId="20" xfId="0" applyFont="1" applyBorder="1" applyAlignment="1" applyProtection="1">
      <alignment vertical="center" wrapText="1"/>
    </xf>
    <xf numFmtId="0" fontId="6" fillId="8" borderId="8" xfId="0" applyFont="1" applyFill="1" applyBorder="1" applyAlignment="1" applyProtection="1">
      <alignment horizontal="left" vertical="center"/>
    </xf>
    <xf numFmtId="0" fontId="10" fillId="8" borderId="8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horizontal="right"/>
    </xf>
    <xf numFmtId="0" fontId="5" fillId="2" borderId="22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166" fontId="10" fillId="0" borderId="6" xfId="0" applyNumberFormat="1" applyFont="1" applyBorder="1"/>
    <xf numFmtId="166" fontId="10" fillId="0" borderId="5" xfId="0" applyNumberFormat="1" applyFont="1" applyBorder="1"/>
    <xf numFmtId="166" fontId="10" fillId="0" borderId="7" xfId="0" applyNumberFormat="1" applyFont="1" applyBorder="1"/>
    <xf numFmtId="0" fontId="11" fillId="8" borderId="21" xfId="0" applyFont="1" applyFill="1" applyBorder="1" applyAlignment="1" applyProtection="1">
      <alignment horizontal="right" vertical="center"/>
    </xf>
    <xf numFmtId="166" fontId="11" fillId="8" borderId="24" xfId="0" applyNumberFormat="1" applyFont="1" applyFill="1" applyBorder="1"/>
    <xf numFmtId="0" fontId="11" fillId="9" borderId="22" xfId="0" applyFont="1" applyFill="1" applyBorder="1" applyAlignment="1" applyProtection="1">
      <alignment horizontal="right"/>
    </xf>
    <xf numFmtId="166" fontId="11" fillId="9" borderId="0" xfId="0" applyNumberFormat="1" applyFont="1" applyFill="1" applyBorder="1"/>
    <xf numFmtId="166" fontId="11" fillId="9" borderId="26" xfId="0" applyNumberFormat="1" applyFont="1" applyFill="1" applyBorder="1"/>
    <xf numFmtId="0" fontId="10" fillId="7" borderId="24" xfId="0" applyFont="1" applyFill="1" applyBorder="1"/>
    <xf numFmtId="0" fontId="10" fillId="7" borderId="0" xfId="0" applyFont="1" applyFill="1" applyBorder="1"/>
    <xf numFmtId="0" fontId="11" fillId="10" borderId="23" xfId="0" applyFont="1" applyFill="1" applyBorder="1" applyAlignment="1" applyProtection="1">
      <alignment horizontal="right"/>
    </xf>
    <xf numFmtId="166" fontId="11" fillId="10" borderId="27" xfId="0" applyNumberFormat="1" applyFont="1" applyFill="1" applyBorder="1"/>
    <xf numFmtId="0" fontId="10" fillId="0" borderId="27" xfId="0" applyFont="1" applyFill="1" applyBorder="1"/>
    <xf numFmtId="0" fontId="11" fillId="0" borderId="24" xfId="0" applyFont="1" applyBorder="1"/>
    <xf numFmtId="166" fontId="11" fillId="10" borderId="25" xfId="0" applyNumberFormat="1" applyFont="1" applyFill="1" applyBorder="1"/>
    <xf numFmtId="0" fontId="11" fillId="0" borderId="0" xfId="0" applyFont="1" applyBorder="1"/>
    <xf numFmtId="166" fontId="11" fillId="8" borderId="26" xfId="0" applyNumberFormat="1" applyFont="1" applyFill="1" applyBorder="1"/>
    <xf numFmtId="0" fontId="11" fillId="0" borderId="27" xfId="0" applyFont="1" applyBorder="1"/>
    <xf numFmtId="2" fontId="11" fillId="0" borderId="28" xfId="0" applyNumberFormat="1" applyFont="1" applyBorder="1"/>
    <xf numFmtId="166" fontId="10" fillId="11" borderId="6" xfId="0" applyNumberFormat="1" applyFont="1" applyFill="1" applyBorder="1"/>
    <xf numFmtId="166" fontId="11" fillId="11" borderId="24" xfId="0" applyNumberFormat="1" applyFont="1" applyFill="1" applyBorder="1"/>
    <xf numFmtId="166" fontId="11" fillId="11" borderId="0" xfId="0" applyNumberFormat="1" applyFont="1" applyFill="1" applyBorder="1"/>
    <xf numFmtId="166" fontId="11" fillId="11" borderId="27" xfId="0" applyNumberFormat="1" applyFont="1" applyFill="1" applyBorder="1"/>
    <xf numFmtId="164" fontId="10" fillId="5" borderId="9" xfId="0" applyNumberFormat="1" applyFont="1" applyFill="1" applyBorder="1" applyAlignment="1" applyProtection="1">
      <alignment horizontal="right" vertical="center"/>
    </xf>
    <xf numFmtId="164" fontId="10" fillId="5" borderId="12" xfId="0" applyNumberFormat="1" applyFont="1" applyFill="1" applyBorder="1" applyAlignment="1" applyProtection="1">
      <alignment horizontal="right" vertical="center"/>
    </xf>
    <xf numFmtId="0" fontId="11" fillId="5" borderId="5" xfId="0" applyFont="1" applyFill="1" applyBorder="1" applyAlignment="1">
      <alignment vertical="center" wrapText="1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4" fillId="12" borderId="9" xfId="0" applyNumberFormat="1" applyFont="1" applyFill="1" applyBorder="1" applyAlignment="1" applyProtection="1">
      <alignment horizontal="right" vertical="center"/>
      <protection locked="0"/>
    </xf>
    <xf numFmtId="164" fontId="14" fillId="12" borderId="29" xfId="0" applyNumberFormat="1" applyFont="1" applyFill="1" applyBorder="1" applyAlignment="1">
      <alignment horizontal="right" vertical="center"/>
    </xf>
    <xf numFmtId="164" fontId="14" fillId="12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1" fillId="5" borderId="5" xfId="0" applyFont="1" applyFill="1" applyBorder="1" applyAlignment="1">
      <alignment vertical="center" wrapText="1"/>
    </xf>
    <xf numFmtId="166" fontId="10" fillId="0" borderId="0" xfId="0" applyNumberFormat="1" applyFont="1"/>
    <xf numFmtId="9" fontId="10" fillId="0" borderId="0" xfId="13" applyFont="1"/>
    <xf numFmtId="0" fontId="10" fillId="13" borderId="18" xfId="0" applyFont="1" applyFill="1" applyBorder="1" applyProtection="1"/>
    <xf numFmtId="0" fontId="10" fillId="13" borderId="30" xfId="0" applyFont="1" applyFill="1" applyBorder="1"/>
    <xf numFmtId="167" fontId="10" fillId="13" borderId="30" xfId="13" applyNumberFormat="1" applyFont="1" applyFill="1" applyBorder="1"/>
    <xf numFmtId="167" fontId="10" fillId="13" borderId="31" xfId="0" applyNumberFormat="1" applyFont="1" applyFill="1" applyBorder="1"/>
    <xf numFmtId="0" fontId="11" fillId="5" borderId="5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164" fontId="10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5" borderId="2" xfId="0" applyNumberFormat="1" applyFont="1" applyFill="1" applyBorder="1" applyAlignment="1" applyProtection="1">
      <alignment horizontal="right" vertical="center" wrapText="1"/>
    </xf>
    <xf numFmtId="164" fontId="10" fillId="5" borderId="2" xfId="0" applyNumberFormat="1" applyFont="1" applyFill="1" applyBorder="1" applyAlignment="1" applyProtection="1">
      <alignment horizontal="right" vertical="center" wrapText="1"/>
      <protection locked="0"/>
    </xf>
    <xf numFmtId="164" fontId="10" fillId="5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5" borderId="0" xfId="0" applyNumberFormat="1" applyFont="1" applyFill="1" applyBorder="1" applyAlignment="1">
      <alignment horizontal="right" vertical="center" wrapText="1"/>
    </xf>
    <xf numFmtId="164" fontId="10" fillId="5" borderId="4" xfId="0" applyNumberFormat="1" applyFont="1" applyFill="1" applyBorder="1" applyAlignment="1">
      <alignment horizontal="right" vertical="center" wrapText="1"/>
    </xf>
    <xf numFmtId="164" fontId="10" fillId="5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5" borderId="6" xfId="0" applyNumberFormat="1" applyFont="1" applyFill="1" applyBorder="1" applyAlignment="1" applyProtection="1">
      <alignment horizontal="right" vertical="center" wrapText="1"/>
    </xf>
    <xf numFmtId="164" fontId="10" fillId="5" borderId="6" xfId="0" applyNumberFormat="1" applyFont="1" applyFill="1" applyBorder="1" applyAlignment="1" applyProtection="1">
      <alignment horizontal="right" vertical="center" wrapText="1"/>
      <protection locked="0"/>
    </xf>
    <xf numFmtId="164" fontId="10" fillId="5" borderId="7" xfId="0" applyNumberFormat="1" applyFont="1" applyFill="1" applyBorder="1" applyAlignment="1" applyProtection="1">
      <alignment horizontal="right" vertical="center" wrapText="1"/>
      <protection locked="0"/>
    </xf>
    <xf numFmtId="164" fontId="10" fillId="5" borderId="8" xfId="0" applyNumberFormat="1" applyFont="1" applyFill="1" applyBorder="1" applyAlignment="1">
      <alignment horizontal="right" vertical="center" wrapText="1"/>
    </xf>
    <xf numFmtId="164" fontId="10" fillId="5" borderId="5" xfId="0" applyNumberFormat="1" applyFont="1" applyFill="1" applyBorder="1" applyAlignment="1" applyProtection="1">
      <alignment horizontal="right" vertical="center" wrapText="1"/>
    </xf>
    <xf numFmtId="164" fontId="10" fillId="5" borderId="7" xfId="0" applyNumberFormat="1" applyFont="1" applyFill="1" applyBorder="1" applyAlignment="1" applyProtection="1">
      <alignment horizontal="right" vertical="center" wrapText="1"/>
    </xf>
    <xf numFmtId="164" fontId="10" fillId="5" borderId="9" xfId="0" applyNumberFormat="1" applyFont="1" applyFill="1" applyBorder="1" applyAlignment="1" applyProtection="1">
      <alignment horizontal="right" vertical="center" wrapText="1"/>
      <protection locked="0"/>
    </xf>
    <xf numFmtId="164" fontId="10" fillId="5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5" borderId="12" xfId="0" applyNumberFormat="1" applyFont="1" applyFill="1" applyBorder="1" applyAlignment="1">
      <alignment horizontal="right" vertical="center" wrapText="1"/>
    </xf>
    <xf numFmtId="164" fontId="10" fillId="5" borderId="0" xfId="0" applyNumberFormat="1" applyFont="1" applyFill="1" applyAlignment="1">
      <alignment horizontal="right"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164" fontId="10" fillId="5" borderId="2" xfId="0" applyNumberFormat="1" applyFont="1" applyFill="1" applyBorder="1" applyAlignment="1">
      <alignment horizontal="right" vertical="center" wrapText="1"/>
    </xf>
    <xf numFmtId="164" fontId="10" fillId="5" borderId="3" xfId="0" applyNumberFormat="1" applyFont="1" applyFill="1" applyBorder="1" applyAlignment="1">
      <alignment horizontal="right" vertical="center" wrapText="1"/>
    </xf>
    <xf numFmtId="164" fontId="10" fillId="5" borderId="9" xfId="0" applyNumberFormat="1" applyFont="1" applyFill="1" applyBorder="1" applyAlignment="1">
      <alignment horizontal="right" vertical="center" wrapText="1"/>
    </xf>
    <xf numFmtId="164" fontId="10" fillId="5" borderId="10" xfId="0" applyNumberFormat="1" applyFont="1" applyFill="1" applyBorder="1" applyAlignment="1">
      <alignment horizontal="right" vertical="center" wrapText="1"/>
    </xf>
    <xf numFmtId="164" fontId="10" fillId="5" borderId="11" xfId="0" applyNumberFormat="1" applyFont="1" applyFill="1" applyBorder="1" applyAlignment="1">
      <alignment horizontal="right" vertical="center" wrapText="1"/>
    </xf>
    <xf numFmtId="164" fontId="10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/>
    <xf numFmtId="0" fontId="18" fillId="14" borderId="6" xfId="0" applyFont="1" applyFill="1" applyBorder="1" applyAlignment="1" applyProtection="1">
      <alignment horizontal="center"/>
      <protection locked="0"/>
    </xf>
    <xf numFmtId="0" fontId="18" fillId="15" borderId="6" xfId="0" applyFont="1" applyFill="1" applyBorder="1" applyAlignment="1" applyProtection="1">
      <alignment horizontal="center"/>
      <protection locked="0"/>
    </xf>
    <xf numFmtId="0" fontId="10" fillId="8" borderId="0" xfId="0" applyFont="1" applyFill="1"/>
    <xf numFmtId="0" fontId="11" fillId="0" borderId="0" xfId="0" applyFont="1"/>
    <xf numFmtId="0" fontId="11" fillId="6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5" borderId="5" xfId="0" applyFont="1" applyFill="1" applyBorder="1" applyAlignment="1">
      <alignment vertical="center" wrapText="1"/>
    </xf>
    <xf numFmtId="0" fontId="14" fillId="0" borderId="0" xfId="0" applyFont="1"/>
    <xf numFmtId="0" fontId="14" fillId="3" borderId="0" xfId="0" applyFont="1" applyFill="1"/>
    <xf numFmtId="0" fontId="14" fillId="16" borderId="0" xfId="0" applyFont="1" applyFill="1"/>
    <xf numFmtId="0" fontId="14" fillId="0" borderId="0" xfId="0" applyFont="1" applyAlignment="1">
      <alignment horizontal="right"/>
    </xf>
    <xf numFmtId="9" fontId="14" fillId="0" borderId="0" xfId="0" applyNumberFormat="1" applyFont="1" applyAlignment="1">
      <alignment horizontal="center"/>
    </xf>
    <xf numFmtId="0" fontId="20" fillId="17" borderId="0" xfId="0" applyFont="1" applyFill="1"/>
    <xf numFmtId="0" fontId="14" fillId="17" borderId="0" xfId="0" applyFont="1" applyFill="1"/>
    <xf numFmtId="0" fontId="14" fillId="17" borderId="0" xfId="0" applyFont="1" applyFill="1" applyAlignment="1">
      <alignment horizontal="center"/>
    </xf>
    <xf numFmtId="0" fontId="20" fillId="17" borderId="0" xfId="0" applyFont="1" applyFill="1" applyAlignment="1">
      <alignment horizontal="center" vertical="center" wrapText="1"/>
    </xf>
    <xf numFmtId="0" fontId="20" fillId="17" borderId="0" xfId="0" applyFont="1" applyFill="1" applyAlignment="1">
      <alignment horizontal="center"/>
    </xf>
    <xf numFmtId="0" fontId="20" fillId="17" borderId="1" xfId="0" applyFont="1" applyFill="1" applyBorder="1" applyAlignment="1">
      <alignment vertical="center" wrapText="1"/>
    </xf>
    <xf numFmtId="0" fontId="14" fillId="17" borderId="34" xfId="0" applyFont="1" applyFill="1" applyBorder="1" applyAlignment="1">
      <alignment vertical="center" wrapText="1"/>
    </xf>
    <xf numFmtId="0" fontId="20" fillId="17" borderId="35" xfId="0" applyFont="1" applyFill="1" applyBorder="1" applyAlignment="1">
      <alignment vertical="center" wrapText="1"/>
    </xf>
    <xf numFmtId="0" fontId="14" fillId="17" borderId="36" xfId="0" applyFont="1" applyFill="1" applyBorder="1" applyAlignment="1">
      <alignment vertical="center" wrapText="1"/>
    </xf>
    <xf numFmtId="0" fontId="20" fillId="17" borderId="0" xfId="0" applyFont="1" applyFill="1" applyAlignment="1">
      <alignment vertical="center" wrapText="1"/>
    </xf>
    <xf numFmtId="0" fontId="14" fillId="17" borderId="36" xfId="0" applyFont="1" applyFill="1" applyBorder="1" applyAlignment="1">
      <alignment horizontal="right" vertical="center" wrapText="1"/>
    </xf>
    <xf numFmtId="0" fontId="20" fillId="17" borderId="36" xfId="0" applyFont="1" applyFill="1" applyBorder="1" applyAlignment="1">
      <alignment horizontal="right" vertical="center" wrapText="1"/>
    </xf>
    <xf numFmtId="0" fontId="20" fillId="17" borderId="38" xfId="0" applyFont="1" applyFill="1" applyBorder="1" applyAlignment="1">
      <alignment vertical="center" wrapText="1"/>
    </xf>
    <xf numFmtId="0" fontId="14" fillId="17" borderId="27" xfId="0" applyFont="1" applyFill="1" applyBorder="1" applyAlignment="1">
      <alignment vertical="center" wrapText="1"/>
    </xf>
    <xf numFmtId="0" fontId="14" fillId="17" borderId="0" xfId="0" applyFont="1" applyFill="1" applyAlignment="1">
      <alignment vertical="center" wrapText="1"/>
    </xf>
    <xf numFmtId="0" fontId="20" fillId="17" borderId="13" xfId="0" applyFont="1" applyFill="1" applyBorder="1" applyAlignment="1">
      <alignment vertical="center" wrapText="1"/>
    </xf>
    <xf numFmtId="0" fontId="14" fillId="17" borderId="14" xfId="0" applyFont="1" applyFill="1" applyBorder="1" applyAlignment="1">
      <alignment vertical="center" wrapText="1"/>
    </xf>
    <xf numFmtId="0" fontId="20" fillId="17" borderId="23" xfId="0" applyFont="1" applyFill="1" applyBorder="1" applyAlignment="1">
      <alignment vertical="center" wrapText="1"/>
    </xf>
    <xf numFmtId="0" fontId="14" fillId="17" borderId="28" xfId="0" applyFont="1" applyFill="1" applyBorder="1" applyAlignment="1">
      <alignment vertical="center" wrapText="1"/>
    </xf>
    <xf numFmtId="0" fontId="12" fillId="17" borderId="0" xfId="0" applyFont="1" applyFill="1"/>
    <xf numFmtId="0" fontId="14" fillId="17" borderId="0" xfId="0" applyFont="1" applyFill="1" applyAlignment="1">
      <alignment vertical="center"/>
    </xf>
    <xf numFmtId="0" fontId="11" fillId="18" borderId="0" xfId="0" applyFont="1" applyFill="1"/>
    <xf numFmtId="0" fontId="10" fillId="18" borderId="0" xfId="0" applyFont="1" applyFill="1"/>
    <xf numFmtId="0" fontId="10" fillId="18" borderId="0" xfId="0" applyFont="1" applyFill="1" applyAlignment="1">
      <alignment horizontal="center"/>
    </xf>
    <xf numFmtId="0" fontId="10" fillId="18" borderId="0" xfId="0" applyFont="1" applyFill="1" applyBorder="1"/>
    <xf numFmtId="0" fontId="11" fillId="18" borderId="0" xfId="0" applyFont="1" applyFill="1" applyAlignment="1" applyProtection="1">
      <alignment horizontal="center" vertical="center" wrapText="1"/>
    </xf>
    <xf numFmtId="0" fontId="11" fillId="18" borderId="0" xfId="0" applyFont="1" applyFill="1" applyAlignment="1">
      <alignment horizontal="center"/>
    </xf>
    <xf numFmtId="0" fontId="20" fillId="19" borderId="1" xfId="0" applyFont="1" applyFill="1" applyBorder="1" applyAlignment="1">
      <alignment vertical="center" wrapText="1"/>
    </xf>
    <xf numFmtId="0" fontId="14" fillId="19" borderId="34" xfId="0" applyFont="1" applyFill="1" applyBorder="1" applyAlignment="1">
      <alignment vertical="center" wrapText="1"/>
    </xf>
    <xf numFmtId="164" fontId="10" fillId="18" borderId="1" xfId="0" applyNumberFormat="1" applyFont="1" applyFill="1" applyBorder="1" applyAlignment="1" applyProtection="1">
      <alignment horizontal="right" vertical="center"/>
      <protection locked="0"/>
    </xf>
    <xf numFmtId="164" fontId="10" fillId="18" borderId="2" xfId="0" applyNumberFormat="1" applyFont="1" applyFill="1" applyBorder="1" applyAlignment="1" applyProtection="1">
      <alignment horizontal="right" vertical="center"/>
    </xf>
    <xf numFmtId="164" fontId="10" fillId="18" borderId="2" xfId="0" applyNumberFormat="1" applyFont="1" applyFill="1" applyBorder="1" applyAlignment="1" applyProtection="1">
      <alignment horizontal="right" vertical="center"/>
      <protection locked="0"/>
    </xf>
    <xf numFmtId="164" fontId="10" fillId="18" borderId="3" xfId="0" applyNumberFormat="1" applyFont="1" applyFill="1" applyBorder="1" applyAlignment="1" applyProtection="1">
      <alignment horizontal="right" vertical="center"/>
      <protection locked="0"/>
    </xf>
    <xf numFmtId="164" fontId="10" fillId="18" borderId="0" xfId="0" applyNumberFormat="1" applyFont="1" applyFill="1" applyBorder="1" applyAlignment="1">
      <alignment horizontal="right" vertical="center"/>
    </xf>
    <xf numFmtId="164" fontId="10" fillId="18" borderId="4" xfId="0" applyNumberFormat="1" applyFont="1" applyFill="1" applyBorder="1" applyAlignment="1">
      <alignment horizontal="right" vertical="center"/>
    </xf>
    <xf numFmtId="0" fontId="20" fillId="19" borderId="35" xfId="0" applyFont="1" applyFill="1" applyBorder="1" applyAlignment="1">
      <alignment vertical="center" wrapText="1"/>
    </xf>
    <xf numFmtId="0" fontId="14" fillId="19" borderId="36" xfId="0" applyFont="1" applyFill="1" applyBorder="1" applyAlignment="1">
      <alignment vertical="center" wrapText="1"/>
    </xf>
    <xf numFmtId="164" fontId="10" fillId="18" borderId="5" xfId="0" applyNumberFormat="1" applyFont="1" applyFill="1" applyBorder="1" applyAlignment="1" applyProtection="1">
      <alignment horizontal="right" vertical="center"/>
      <protection locked="0"/>
    </xf>
    <xf numFmtId="164" fontId="10" fillId="18" borderId="6" xfId="0" applyNumberFormat="1" applyFont="1" applyFill="1" applyBorder="1" applyAlignment="1" applyProtection="1">
      <alignment horizontal="right" vertical="center"/>
    </xf>
    <xf numFmtId="164" fontId="10" fillId="18" borderId="6" xfId="0" applyNumberFormat="1" applyFont="1" applyFill="1" applyBorder="1" applyAlignment="1" applyProtection="1">
      <alignment horizontal="right" vertical="center"/>
      <protection locked="0"/>
    </xf>
    <xf numFmtId="164" fontId="10" fillId="18" borderId="7" xfId="0" applyNumberFormat="1" applyFont="1" applyFill="1" applyBorder="1" applyAlignment="1" applyProtection="1">
      <alignment horizontal="right" vertical="center"/>
      <protection locked="0"/>
    </xf>
    <xf numFmtId="164" fontId="10" fillId="18" borderId="8" xfId="0" applyNumberFormat="1" applyFont="1" applyFill="1" applyBorder="1" applyAlignment="1">
      <alignment horizontal="right" vertical="center"/>
    </xf>
    <xf numFmtId="0" fontId="14" fillId="19" borderId="36" xfId="0" applyFont="1" applyFill="1" applyBorder="1" applyAlignment="1">
      <alignment horizontal="right" vertical="center" wrapText="1"/>
    </xf>
    <xf numFmtId="0" fontId="20" fillId="19" borderId="36" xfId="0" applyFont="1" applyFill="1" applyBorder="1" applyAlignment="1">
      <alignment horizontal="right" vertical="center" wrapText="1"/>
    </xf>
    <xf numFmtId="164" fontId="10" fillId="18" borderId="5" xfId="0" applyNumberFormat="1" applyFont="1" applyFill="1" applyBorder="1" applyAlignment="1" applyProtection="1">
      <alignment horizontal="right" vertical="center"/>
    </xf>
    <xf numFmtId="164" fontId="10" fillId="18" borderId="7" xfId="0" applyNumberFormat="1" applyFont="1" applyFill="1" applyBorder="1" applyAlignment="1" applyProtection="1">
      <alignment horizontal="right" vertical="center"/>
    </xf>
    <xf numFmtId="0" fontId="20" fillId="19" borderId="38" xfId="0" applyFont="1" applyFill="1" applyBorder="1" applyAlignment="1">
      <alignment vertical="center" wrapText="1"/>
    </xf>
    <xf numFmtId="0" fontId="14" fillId="19" borderId="27" xfId="0" applyFont="1" applyFill="1" applyBorder="1" applyAlignment="1">
      <alignment vertical="center" wrapText="1"/>
    </xf>
    <xf numFmtId="164" fontId="10" fillId="18" borderId="10" xfId="0" applyNumberFormat="1" applyFont="1" applyFill="1" applyBorder="1" applyAlignment="1" applyProtection="1">
      <alignment horizontal="right" vertical="center"/>
      <protection locked="0"/>
    </xf>
    <xf numFmtId="164" fontId="10" fillId="18" borderId="10" xfId="0" applyNumberFormat="1" applyFont="1" applyFill="1" applyBorder="1" applyAlignment="1" applyProtection="1">
      <alignment horizontal="right" vertical="center"/>
    </xf>
    <xf numFmtId="164" fontId="10" fillId="18" borderId="11" xfId="0" applyNumberFormat="1" applyFont="1" applyFill="1" applyBorder="1" applyAlignment="1" applyProtection="1">
      <alignment horizontal="right" vertical="center"/>
      <protection locked="0"/>
    </xf>
    <xf numFmtId="164" fontId="10" fillId="18" borderId="12" xfId="0" applyNumberFormat="1" applyFont="1" applyFill="1" applyBorder="1" applyAlignment="1">
      <alignment horizontal="right" vertical="center"/>
    </xf>
    <xf numFmtId="0" fontId="20" fillId="19" borderId="0" xfId="0" applyFont="1" applyFill="1" applyAlignment="1">
      <alignment vertical="center" wrapText="1"/>
    </xf>
    <xf numFmtId="0" fontId="14" fillId="19" borderId="0" xfId="0" applyFont="1" applyFill="1" applyAlignment="1">
      <alignment vertical="center" wrapText="1"/>
    </xf>
    <xf numFmtId="164" fontId="10" fillId="18" borderId="0" xfId="0" applyNumberFormat="1" applyFont="1" applyFill="1" applyAlignment="1">
      <alignment horizontal="right" vertical="center"/>
    </xf>
    <xf numFmtId="0" fontId="20" fillId="19" borderId="13" xfId="0" applyFont="1" applyFill="1" applyBorder="1" applyAlignment="1">
      <alignment vertical="center" wrapText="1"/>
    </xf>
    <xf numFmtId="0" fontId="14" fillId="19" borderId="14" xfId="0" applyFont="1" applyFill="1" applyBorder="1" applyAlignment="1">
      <alignment vertical="center" wrapText="1"/>
    </xf>
    <xf numFmtId="164" fontId="10" fillId="18" borderId="1" xfId="0" applyNumberFormat="1" applyFont="1" applyFill="1" applyBorder="1" applyAlignment="1">
      <alignment horizontal="right" vertical="center"/>
    </xf>
    <xf numFmtId="164" fontId="10" fillId="18" borderId="2" xfId="0" applyNumberFormat="1" applyFont="1" applyFill="1" applyBorder="1" applyAlignment="1">
      <alignment horizontal="right" vertical="center"/>
    </xf>
    <xf numFmtId="164" fontId="10" fillId="18" borderId="3" xfId="0" applyNumberFormat="1" applyFont="1" applyFill="1" applyBorder="1" applyAlignment="1">
      <alignment horizontal="right" vertical="center"/>
    </xf>
    <xf numFmtId="0" fontId="20" fillId="19" borderId="23" xfId="0" applyFont="1" applyFill="1" applyBorder="1" applyAlignment="1">
      <alignment vertical="center" wrapText="1"/>
    </xf>
    <xf numFmtId="0" fontId="14" fillId="19" borderId="28" xfId="0" applyFont="1" applyFill="1" applyBorder="1" applyAlignment="1">
      <alignment vertical="center" wrapText="1"/>
    </xf>
    <xf numFmtId="164" fontId="10" fillId="18" borderId="9" xfId="0" applyNumberFormat="1" applyFont="1" applyFill="1" applyBorder="1" applyAlignment="1">
      <alignment horizontal="right" vertical="center"/>
    </xf>
    <xf numFmtId="164" fontId="10" fillId="18" borderId="10" xfId="0" applyNumberFormat="1" applyFont="1" applyFill="1" applyBorder="1" applyAlignment="1">
      <alignment horizontal="right" vertical="center"/>
    </xf>
    <xf numFmtId="164" fontId="10" fillId="18" borderId="11" xfId="0" applyNumberFormat="1" applyFont="1" applyFill="1" applyBorder="1" applyAlignment="1">
      <alignment horizontal="right" vertical="center"/>
    </xf>
    <xf numFmtId="0" fontId="12" fillId="18" borderId="0" xfId="0" applyFont="1" applyFill="1"/>
    <xf numFmtId="0" fontId="10" fillId="18" borderId="0" xfId="0" applyFont="1" applyFill="1" applyAlignment="1">
      <alignment horizontal="center" vertical="center"/>
    </xf>
    <xf numFmtId="0" fontId="10" fillId="18" borderId="0" xfId="0" applyFont="1" applyFill="1" applyBorder="1" applyAlignment="1">
      <alignment vertical="center"/>
    </xf>
    <xf numFmtId="0" fontId="10" fillId="18" borderId="0" xfId="0" applyFont="1" applyFill="1" applyAlignment="1">
      <alignment vertical="center"/>
    </xf>
    <xf numFmtId="0" fontId="5" fillId="20" borderId="0" xfId="0" applyFont="1" applyFill="1"/>
    <xf numFmtId="0" fontId="4" fillId="20" borderId="0" xfId="0" applyFont="1" applyFill="1"/>
    <xf numFmtId="0" fontId="4" fillId="20" borderId="0" xfId="0" applyFont="1" applyFill="1" applyAlignment="1">
      <alignment horizontal="center"/>
    </xf>
    <xf numFmtId="0" fontId="4" fillId="20" borderId="0" xfId="0" applyFont="1" applyFill="1" applyBorder="1"/>
    <xf numFmtId="0" fontId="5" fillId="20" borderId="0" xfId="0" applyFont="1" applyFill="1" applyAlignment="1" applyProtection="1">
      <alignment horizontal="center" vertical="center" wrapText="1"/>
    </xf>
    <xf numFmtId="0" fontId="5" fillId="20" borderId="0" xfId="0" applyFont="1" applyFill="1" applyAlignment="1">
      <alignment horizontal="center"/>
    </xf>
    <xf numFmtId="0" fontId="5" fillId="20" borderId="1" xfId="0" applyFont="1" applyFill="1" applyBorder="1" applyAlignment="1">
      <alignment vertical="center" wrapText="1"/>
    </xf>
    <xf numFmtId="0" fontId="4" fillId="20" borderId="3" xfId="0" applyFont="1" applyFill="1" applyBorder="1" applyAlignment="1">
      <alignment vertical="center" wrapText="1"/>
    </xf>
    <xf numFmtId="164" fontId="4" fillId="20" borderId="1" xfId="0" applyNumberFormat="1" applyFont="1" applyFill="1" applyBorder="1" applyAlignment="1" applyProtection="1">
      <alignment horizontal="right" vertical="center"/>
      <protection locked="0"/>
    </xf>
    <xf numFmtId="164" fontId="4" fillId="20" borderId="2" xfId="0" applyNumberFormat="1" applyFont="1" applyFill="1" applyBorder="1" applyAlignment="1" applyProtection="1">
      <alignment horizontal="right" vertical="center"/>
    </xf>
    <xf numFmtId="164" fontId="4" fillId="20" borderId="2" xfId="0" applyNumberFormat="1" applyFont="1" applyFill="1" applyBorder="1" applyAlignment="1" applyProtection="1">
      <alignment horizontal="right" vertical="center"/>
      <protection locked="0"/>
    </xf>
    <xf numFmtId="164" fontId="4" fillId="20" borderId="3" xfId="0" applyNumberFormat="1" applyFont="1" applyFill="1" applyBorder="1" applyAlignment="1" applyProtection="1">
      <alignment horizontal="right" vertical="center"/>
      <protection locked="0"/>
    </xf>
    <xf numFmtId="164" fontId="4" fillId="20" borderId="0" xfId="0" applyNumberFormat="1" applyFont="1" applyFill="1" applyBorder="1" applyAlignment="1">
      <alignment horizontal="right" vertical="center"/>
    </xf>
    <xf numFmtId="164" fontId="4" fillId="20" borderId="4" xfId="0" applyNumberFormat="1" applyFont="1" applyFill="1" applyBorder="1" applyAlignment="1">
      <alignment horizontal="right" vertical="center"/>
    </xf>
    <xf numFmtId="0" fontId="5" fillId="20" borderId="5" xfId="0" applyFont="1" applyFill="1" applyBorder="1" applyAlignment="1">
      <alignment vertical="center" wrapText="1"/>
    </xf>
    <xf numFmtId="0" fontId="4" fillId="20" borderId="7" xfId="0" applyFont="1" applyFill="1" applyBorder="1" applyAlignment="1">
      <alignment vertical="center" wrapText="1"/>
    </xf>
    <xf numFmtId="164" fontId="4" fillId="20" borderId="5" xfId="0" applyNumberFormat="1" applyFont="1" applyFill="1" applyBorder="1" applyAlignment="1" applyProtection="1">
      <alignment horizontal="right" vertical="center"/>
      <protection locked="0"/>
    </xf>
    <xf numFmtId="164" fontId="4" fillId="20" borderId="6" xfId="0" applyNumberFormat="1" applyFont="1" applyFill="1" applyBorder="1" applyAlignment="1" applyProtection="1">
      <alignment horizontal="right" vertical="center"/>
    </xf>
    <xf numFmtId="164" fontId="4" fillId="20" borderId="6" xfId="0" applyNumberFormat="1" applyFont="1" applyFill="1" applyBorder="1" applyAlignment="1" applyProtection="1">
      <alignment horizontal="right" vertical="center"/>
      <protection locked="0"/>
    </xf>
    <xf numFmtId="164" fontId="4" fillId="20" borderId="7" xfId="0" applyNumberFormat="1" applyFont="1" applyFill="1" applyBorder="1" applyAlignment="1" applyProtection="1">
      <alignment horizontal="right" vertical="center"/>
      <protection locked="0"/>
    </xf>
    <xf numFmtId="164" fontId="4" fillId="20" borderId="8" xfId="0" applyNumberFormat="1" applyFont="1" applyFill="1" applyBorder="1" applyAlignment="1">
      <alignment horizontal="right" vertical="center"/>
    </xf>
    <xf numFmtId="0" fontId="4" fillId="20" borderId="7" xfId="0" applyFont="1" applyFill="1" applyBorder="1" applyAlignment="1">
      <alignment horizontal="right" vertical="center" wrapText="1"/>
    </xf>
    <xf numFmtId="0" fontId="5" fillId="20" borderId="7" xfId="0" applyFont="1" applyFill="1" applyBorder="1" applyAlignment="1">
      <alignment horizontal="right" vertical="center" wrapText="1"/>
    </xf>
    <xf numFmtId="164" fontId="4" fillId="20" borderId="5" xfId="0" applyNumberFormat="1" applyFont="1" applyFill="1" applyBorder="1" applyAlignment="1" applyProtection="1">
      <alignment horizontal="right" vertical="center"/>
    </xf>
    <xf numFmtId="164" fontId="4" fillId="20" borderId="7" xfId="0" applyNumberFormat="1" applyFont="1" applyFill="1" applyBorder="1" applyAlignment="1" applyProtection="1">
      <alignment horizontal="right" vertical="center"/>
    </xf>
    <xf numFmtId="0" fontId="5" fillId="20" borderId="9" xfId="0" applyFont="1" applyFill="1" applyBorder="1" applyAlignment="1">
      <alignment vertical="center" wrapText="1"/>
    </xf>
    <xf numFmtId="164" fontId="4" fillId="20" borderId="9" xfId="0" applyNumberFormat="1" applyFont="1" applyFill="1" applyBorder="1" applyAlignment="1" applyProtection="1">
      <alignment horizontal="right" vertical="center"/>
    </xf>
    <xf numFmtId="164" fontId="4" fillId="20" borderId="10" xfId="0" applyNumberFormat="1" applyFont="1" applyFill="1" applyBorder="1" applyAlignment="1" applyProtection="1">
      <alignment horizontal="right" vertical="center"/>
    </xf>
    <xf numFmtId="164" fontId="4" fillId="20" borderId="12" xfId="0" applyNumberFormat="1" applyFont="1" applyFill="1" applyBorder="1" applyAlignment="1">
      <alignment horizontal="right" vertical="center"/>
    </xf>
    <xf numFmtId="0" fontId="5" fillId="20" borderId="0" xfId="0" applyFont="1" applyFill="1" applyAlignment="1">
      <alignment vertical="center" wrapText="1"/>
    </xf>
    <xf numFmtId="0" fontId="4" fillId="20" borderId="0" xfId="0" applyFont="1" applyFill="1" applyAlignment="1">
      <alignment vertical="center" wrapText="1"/>
    </xf>
    <xf numFmtId="164" fontId="4" fillId="20" borderId="0" xfId="0" applyNumberFormat="1" applyFont="1" applyFill="1" applyAlignment="1">
      <alignment horizontal="right" vertical="center"/>
    </xf>
    <xf numFmtId="0" fontId="5" fillId="20" borderId="13" xfId="0" applyFont="1" applyFill="1" applyBorder="1" applyAlignment="1">
      <alignment vertical="center" wrapText="1"/>
    </xf>
    <xf numFmtId="0" fontId="4" fillId="20" borderId="14" xfId="0" applyFont="1" applyFill="1" applyBorder="1" applyAlignment="1">
      <alignment vertical="center" wrapText="1"/>
    </xf>
    <xf numFmtId="164" fontId="4" fillId="20" borderId="1" xfId="0" applyNumberFormat="1" applyFont="1" applyFill="1" applyBorder="1" applyAlignment="1">
      <alignment horizontal="right" vertical="center"/>
    </xf>
    <xf numFmtId="164" fontId="4" fillId="20" borderId="2" xfId="0" applyNumberFormat="1" applyFont="1" applyFill="1" applyBorder="1" applyAlignment="1">
      <alignment horizontal="right" vertical="center"/>
    </xf>
    <xf numFmtId="164" fontId="4" fillId="20" borderId="3" xfId="0" applyNumberFormat="1" applyFont="1" applyFill="1" applyBorder="1" applyAlignment="1">
      <alignment horizontal="right" vertical="center"/>
    </xf>
    <xf numFmtId="0" fontId="5" fillId="20" borderId="15" xfId="0" applyFont="1" applyFill="1" applyBorder="1" applyAlignment="1">
      <alignment vertical="center" wrapText="1"/>
    </xf>
    <xf numFmtId="0" fontId="4" fillId="20" borderId="16" xfId="0" applyFont="1" applyFill="1" applyBorder="1" applyAlignment="1">
      <alignment vertical="center" wrapText="1"/>
    </xf>
    <xf numFmtId="164" fontId="4" fillId="20" borderId="9" xfId="0" applyNumberFormat="1" applyFont="1" applyFill="1" applyBorder="1" applyAlignment="1">
      <alignment horizontal="right" vertical="center"/>
    </xf>
    <xf numFmtId="164" fontId="4" fillId="20" borderId="10" xfId="0" applyNumberFormat="1" applyFont="1" applyFill="1" applyBorder="1" applyAlignment="1">
      <alignment horizontal="right" vertical="center"/>
    </xf>
    <xf numFmtId="164" fontId="4" fillId="20" borderId="11" xfId="0" applyNumberFormat="1" applyFont="1" applyFill="1" applyBorder="1" applyAlignment="1">
      <alignment horizontal="right" vertical="center"/>
    </xf>
    <xf numFmtId="0" fontId="19" fillId="20" borderId="0" xfId="0" applyFont="1" applyFill="1"/>
    <xf numFmtId="0" fontId="4" fillId="20" borderId="0" xfId="0" applyFont="1" applyFill="1" applyAlignment="1">
      <alignment horizontal="center" vertical="center"/>
    </xf>
    <xf numFmtId="0" fontId="4" fillId="20" borderId="0" xfId="0" applyFont="1" applyFill="1" applyBorder="1" applyAlignment="1">
      <alignment vertical="center"/>
    </xf>
    <xf numFmtId="0" fontId="4" fillId="20" borderId="0" xfId="0" applyFont="1" applyFill="1" applyAlignment="1">
      <alignment vertical="center"/>
    </xf>
    <xf numFmtId="164" fontId="4" fillId="20" borderId="11" xfId="0" applyNumberFormat="1" applyFont="1" applyFill="1" applyBorder="1" applyAlignment="1" applyProtection="1">
      <alignment horizontal="right" vertical="center"/>
    </xf>
    <xf numFmtId="9" fontId="4" fillId="20" borderId="1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8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1" fillId="5" borderId="39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10" fillId="5" borderId="32" xfId="0" applyFont="1" applyFill="1" applyBorder="1" applyAlignment="1">
      <alignment vertical="center" wrapText="1"/>
    </xf>
    <xf numFmtId="164" fontId="10" fillId="5" borderId="33" xfId="0" applyNumberFormat="1" applyFont="1" applyFill="1" applyBorder="1" applyAlignment="1" applyProtection="1">
      <alignment horizontal="right" vertical="center"/>
    </xf>
    <xf numFmtId="0" fontId="10" fillId="5" borderId="38" xfId="0" applyFont="1" applyFill="1" applyBorder="1" applyAlignment="1">
      <alignment vertical="center" wrapText="1"/>
    </xf>
    <xf numFmtId="164" fontId="10" fillId="5" borderId="40" xfId="0" applyNumberFormat="1" applyFont="1" applyFill="1" applyBorder="1" applyAlignment="1" applyProtection="1">
      <alignment horizontal="right" vertical="center"/>
      <protection locked="0"/>
    </xf>
    <xf numFmtId="164" fontId="10" fillId="5" borderId="40" xfId="0" applyNumberFormat="1" applyFont="1" applyFill="1" applyBorder="1" applyAlignment="1" applyProtection="1">
      <alignment horizontal="right" vertical="center"/>
    </xf>
    <xf numFmtId="164" fontId="10" fillId="5" borderId="41" xfId="0" applyNumberFormat="1" applyFont="1" applyFill="1" applyBorder="1" applyAlignment="1" applyProtection="1">
      <alignment horizontal="right" vertical="center"/>
      <protection locked="0"/>
    </xf>
    <xf numFmtId="0" fontId="10" fillId="5" borderId="1" xfId="0" applyFont="1" applyFill="1" applyBorder="1" applyAlignment="1">
      <alignment horizontal="right" vertical="center" wrapText="1"/>
    </xf>
    <xf numFmtId="0" fontId="11" fillId="5" borderId="9" xfId="0" applyFont="1" applyFill="1" applyBorder="1" applyAlignment="1">
      <alignment horizontal="right" vertical="center" wrapText="1"/>
    </xf>
    <xf numFmtId="164" fontId="10" fillId="5" borderId="11" xfId="0" applyNumberFormat="1" applyFont="1" applyFill="1" applyBorder="1" applyAlignment="1" applyProtection="1">
      <alignment horizontal="right" vertical="center"/>
    </xf>
    <xf numFmtId="0" fontId="10" fillId="5" borderId="34" xfId="0" applyFont="1" applyFill="1" applyBorder="1" applyAlignment="1">
      <alignment vertical="center" wrapText="1"/>
    </xf>
    <xf numFmtId="0" fontId="10" fillId="5" borderId="42" xfId="0" applyFont="1" applyFill="1" applyBorder="1" applyAlignment="1">
      <alignment vertical="center" wrapText="1"/>
    </xf>
    <xf numFmtId="164" fontId="10" fillId="8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/>
    </xf>
    <xf numFmtId="0" fontId="10" fillId="5" borderId="11" xfId="0" applyFont="1" applyFill="1" applyBorder="1" applyAlignment="1" applyProtection="1">
      <alignment vertical="center" wrapText="1"/>
      <protection locked="0"/>
    </xf>
    <xf numFmtId="0" fontId="11" fillId="5" borderId="5" xfId="0" applyFont="1" applyFill="1" applyBorder="1" applyAlignment="1">
      <alignment vertical="center" wrapText="1"/>
    </xf>
    <xf numFmtId="0" fontId="0" fillId="0" borderId="0" xfId="0" quotePrefix="1"/>
    <xf numFmtId="0" fontId="10" fillId="5" borderId="19" xfId="0" applyFont="1" applyFill="1" applyBorder="1" applyAlignment="1" applyProtection="1">
      <alignment vertical="center" wrapText="1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9" fontId="10" fillId="5" borderId="16" xfId="0" applyNumberFormat="1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66" fontId="11" fillId="8" borderId="20" xfId="0" applyNumberFormat="1" applyFont="1" applyFill="1" applyBorder="1"/>
    <xf numFmtId="166" fontId="11" fillId="9" borderId="43" xfId="0" applyNumberFormat="1" applyFont="1" applyFill="1" applyBorder="1"/>
    <xf numFmtId="166" fontId="11" fillId="10" borderId="48" xfId="0" applyNumberFormat="1" applyFont="1" applyFill="1" applyBorder="1"/>
    <xf numFmtId="0" fontId="10" fillId="0" borderId="43" xfId="0" applyFont="1" applyBorder="1"/>
    <xf numFmtId="166" fontId="11" fillId="10" borderId="20" xfId="0" applyNumberFormat="1" applyFont="1" applyFill="1" applyBorder="1"/>
    <xf numFmtId="166" fontId="11" fillId="8" borderId="43" xfId="0" applyNumberFormat="1" applyFont="1" applyFill="1" applyBorder="1"/>
    <xf numFmtId="2" fontId="11" fillId="0" borderId="48" xfId="0" applyNumberFormat="1" applyFont="1" applyBorder="1"/>
    <xf numFmtId="0" fontId="10" fillId="0" borderId="0" xfId="0" applyFont="1" applyAlignment="1" applyProtection="1">
      <alignment horizontal="right"/>
    </xf>
    <xf numFmtId="164" fontId="10" fillId="4" borderId="2" xfId="0" applyNumberFormat="1" applyFont="1" applyFill="1" applyBorder="1" applyAlignment="1" applyProtection="1">
      <alignment horizontal="right" vertical="center"/>
      <protection locked="0"/>
    </xf>
    <xf numFmtId="164" fontId="10" fillId="4" borderId="2" xfId="0" applyNumberFormat="1" applyFont="1" applyFill="1" applyBorder="1" applyAlignment="1" applyProtection="1">
      <alignment horizontal="right" vertical="center"/>
    </xf>
    <xf numFmtId="164" fontId="10" fillId="4" borderId="0" xfId="0" applyNumberFormat="1" applyFont="1" applyFill="1" applyBorder="1" applyAlignment="1">
      <alignment horizontal="right" vertical="center"/>
    </xf>
    <xf numFmtId="164" fontId="10" fillId="4" borderId="6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/>
    <xf numFmtId="0" fontId="10" fillId="21" borderId="0" xfId="0" applyFont="1" applyFill="1" applyAlignment="1" applyProtection="1">
      <protection locked="0"/>
    </xf>
    <xf numFmtId="0" fontId="10" fillId="21" borderId="0" xfId="0" applyFont="1" applyFill="1" applyAlignment="1" applyProtection="1">
      <alignment horizontal="center" vertical="center"/>
      <protection locked="0"/>
    </xf>
    <xf numFmtId="0" fontId="10" fillId="21" borderId="0" xfId="0" applyFont="1" applyFill="1" applyBorder="1" applyAlignment="1" applyProtection="1">
      <alignment vertical="center"/>
      <protection locked="0"/>
    </xf>
    <xf numFmtId="0" fontId="10" fillId="21" borderId="0" xfId="0" applyFont="1" applyFill="1" applyAlignment="1" applyProtection="1">
      <alignment vertical="center"/>
      <protection locked="0"/>
    </xf>
    <xf numFmtId="0" fontId="10" fillId="21" borderId="0" xfId="0" applyFont="1" applyFill="1" applyAlignment="1" applyProtection="1">
      <alignment horizontal="center"/>
      <protection locked="0"/>
    </xf>
    <xf numFmtId="0" fontId="10" fillId="21" borderId="0" xfId="0" applyFont="1" applyFill="1" applyBorder="1" applyAlignment="1" applyProtection="1">
      <protection locked="0"/>
    </xf>
    <xf numFmtId="0" fontId="0" fillId="4" borderId="0" xfId="0" applyFill="1" applyProtection="1">
      <protection locked="0"/>
    </xf>
    <xf numFmtId="0" fontId="10" fillId="8" borderId="0" xfId="0" applyFont="1" applyFill="1" applyProtection="1">
      <protection locked="0"/>
    </xf>
    <xf numFmtId="0" fontId="10" fillId="8" borderId="0" xfId="0" applyFont="1" applyFill="1" applyAlignment="1" applyProtection="1">
      <alignment horizontal="center"/>
      <protection locked="0"/>
    </xf>
    <xf numFmtId="0" fontId="10" fillId="8" borderId="0" xfId="0" applyFont="1" applyFill="1" applyAlignment="1">
      <alignment horizontal="left"/>
    </xf>
    <xf numFmtId="0" fontId="10" fillId="8" borderId="0" xfId="0" applyFont="1" applyFill="1" applyAlignment="1">
      <alignment horizontal="center"/>
    </xf>
    <xf numFmtId="0" fontId="11" fillId="5" borderId="5" xfId="0" applyFont="1" applyFill="1" applyBorder="1" applyAlignment="1">
      <alignment vertical="center" wrapText="1"/>
    </xf>
    <xf numFmtId="0" fontId="21" fillId="22" borderId="0" xfId="0" applyFont="1" applyFill="1" applyBorder="1" applyAlignment="1" applyProtection="1">
      <alignment horizontal="right"/>
    </xf>
    <xf numFmtId="168" fontId="21" fillId="22" borderId="0" xfId="0" applyNumberFormat="1" applyFont="1" applyFill="1" applyProtection="1"/>
    <xf numFmtId="0" fontId="22" fillId="14" borderId="21" xfId="0" applyFont="1" applyFill="1" applyBorder="1" applyAlignment="1" applyProtection="1">
      <alignment horizontal="right"/>
    </xf>
    <xf numFmtId="168" fontId="23" fillId="14" borderId="25" xfId="0" applyNumberFormat="1" applyFont="1" applyFill="1" applyBorder="1" applyAlignment="1" applyProtection="1">
      <alignment horizontal="right" vertical="center" wrapText="1"/>
    </xf>
    <xf numFmtId="0" fontId="22" fillId="14" borderId="22" xfId="0" applyFont="1" applyFill="1" applyBorder="1" applyAlignment="1" applyProtection="1">
      <alignment horizontal="right"/>
    </xf>
    <xf numFmtId="168" fontId="0" fillId="14" borderId="26" xfId="0" applyNumberFormat="1" applyFill="1" applyBorder="1" applyProtection="1"/>
    <xf numFmtId="0" fontId="22" fillId="14" borderId="23" xfId="0" applyFont="1" applyFill="1" applyBorder="1" applyAlignment="1" applyProtection="1">
      <alignment horizontal="right"/>
    </xf>
    <xf numFmtId="10" fontId="0" fillId="14" borderId="28" xfId="0" applyNumberFormat="1" applyFill="1" applyBorder="1" applyProtection="1"/>
    <xf numFmtId="168" fontId="11" fillId="0" borderId="0" xfId="0" applyNumberFormat="1" applyFont="1" applyAlignment="1">
      <alignment horizontal="center"/>
    </xf>
    <xf numFmtId="0" fontId="11" fillId="5" borderId="5" xfId="0" applyFont="1" applyFill="1" applyBorder="1" applyAlignment="1">
      <alignment vertical="center" wrapText="1"/>
    </xf>
    <xf numFmtId="0" fontId="0" fillId="5" borderId="5" xfId="0" applyFill="1" applyBorder="1" applyAlignment="1"/>
    <xf numFmtId="169" fontId="10" fillId="5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164" fontId="10" fillId="5" borderId="0" xfId="0" applyNumberFormat="1" applyFont="1" applyFill="1" applyAlignment="1">
      <alignment vertical="center"/>
    </xf>
    <xf numFmtId="9" fontId="10" fillId="0" borderId="0" xfId="13" applyFont="1" applyAlignment="1">
      <alignment vertical="center"/>
    </xf>
    <xf numFmtId="0" fontId="11" fillId="23" borderId="0" xfId="0" applyFont="1" applyFill="1" applyAlignment="1">
      <alignment horizontal="center"/>
    </xf>
    <xf numFmtId="0" fontId="6" fillId="23" borderId="8" xfId="0" applyFont="1" applyFill="1" applyBorder="1" applyAlignment="1" applyProtection="1">
      <alignment horizontal="left" vertical="center"/>
    </xf>
    <xf numFmtId="166" fontId="10" fillId="0" borderId="0" xfId="0" applyNumberFormat="1" applyFont="1" applyAlignment="1">
      <alignment horizontal="center"/>
    </xf>
    <xf numFmtId="166" fontId="10" fillId="0" borderId="43" xfId="80" applyNumberFormat="1" applyFont="1" applyBorder="1"/>
    <xf numFmtId="0" fontId="10" fillId="24" borderId="0" xfId="0" applyFont="1" applyFill="1"/>
    <xf numFmtId="166" fontId="10" fillId="24" borderId="5" xfId="0" applyNumberFormat="1" applyFont="1" applyFill="1" applyBorder="1"/>
    <xf numFmtId="166" fontId="10" fillId="24" borderId="6" xfId="0" applyNumberFormat="1" applyFont="1" applyFill="1" applyBorder="1"/>
    <xf numFmtId="166" fontId="10" fillId="24" borderId="7" xfId="0" applyNumberFormat="1" applyFont="1" applyFill="1" applyBorder="1"/>
    <xf numFmtId="0" fontId="11" fillId="24" borderId="0" xfId="0" applyFont="1" applyFill="1" applyAlignment="1">
      <alignment horizontal="center"/>
    </xf>
    <xf numFmtId="166" fontId="10" fillId="24" borderId="43" xfId="80" applyNumberFormat="1" applyFont="1" applyFill="1" applyBorder="1"/>
    <xf numFmtId="0" fontId="12" fillId="24" borderId="8" xfId="0" applyFont="1" applyFill="1" applyBorder="1" applyAlignment="1" applyProtection="1">
      <alignment horizontal="left" vertic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0" fillId="23" borderId="0" xfId="0" applyFont="1" applyFill="1"/>
    <xf numFmtId="166" fontId="10" fillId="23" borderId="5" xfId="0" applyNumberFormat="1" applyFont="1" applyFill="1" applyBorder="1"/>
    <xf numFmtId="166" fontId="10" fillId="23" borderId="6" xfId="0" applyNumberFormat="1" applyFont="1" applyFill="1" applyBorder="1"/>
    <xf numFmtId="166" fontId="10" fillId="23" borderId="7" xfId="0" applyNumberFormat="1" applyFont="1" applyFill="1" applyBorder="1"/>
    <xf numFmtId="166" fontId="10" fillId="23" borderId="43" xfId="80" applyNumberFormat="1" applyFont="1" applyFill="1" applyBorder="1"/>
    <xf numFmtId="0" fontId="10" fillId="4" borderId="11" xfId="0" applyFont="1" applyFill="1" applyBorder="1" applyAlignment="1">
      <alignment vertical="center" wrapText="1"/>
    </xf>
    <xf numFmtId="0" fontId="20" fillId="17" borderId="35" xfId="0" applyFont="1" applyFill="1" applyBorder="1" applyAlignment="1">
      <alignment vertical="center" wrapText="1"/>
    </xf>
    <xf numFmtId="164" fontId="14" fillId="17" borderId="49" xfId="0" applyNumberFormat="1" applyFont="1" applyFill="1" applyBorder="1" applyAlignment="1" applyProtection="1">
      <alignment horizontal="right" vertical="center"/>
      <protection locked="0"/>
    </xf>
    <xf numFmtId="164" fontId="14" fillId="17" borderId="49" xfId="0" applyNumberFormat="1" applyFont="1" applyFill="1" applyBorder="1" applyAlignment="1">
      <alignment horizontal="right" vertical="center"/>
    </xf>
    <xf numFmtId="164" fontId="14" fillId="17" borderId="14" xfId="0" applyNumberFormat="1" applyFont="1" applyFill="1" applyBorder="1" applyAlignment="1" applyProtection="1">
      <alignment horizontal="right" vertical="center"/>
      <protection locked="0"/>
    </xf>
    <xf numFmtId="164" fontId="14" fillId="17" borderId="0" xfId="0" applyNumberFormat="1" applyFont="1" applyFill="1" applyAlignment="1">
      <alignment horizontal="right" vertical="center"/>
    </xf>
    <xf numFmtId="164" fontId="14" fillId="17" borderId="4" xfId="0" applyNumberFormat="1" applyFont="1" applyFill="1" applyBorder="1" applyAlignment="1">
      <alignment horizontal="right" vertical="center"/>
    </xf>
    <xf numFmtId="0" fontId="14" fillId="17" borderId="50" xfId="0" applyFont="1" applyFill="1" applyBorder="1" applyAlignment="1">
      <alignment vertical="center" wrapText="1"/>
    </xf>
    <xf numFmtId="164" fontId="14" fillId="17" borderId="51" xfId="0" applyNumberFormat="1" applyFont="1" applyFill="1" applyBorder="1" applyAlignment="1" applyProtection="1">
      <alignment horizontal="right" vertical="center"/>
      <protection locked="0"/>
    </xf>
    <xf numFmtId="164" fontId="14" fillId="17" borderId="51" xfId="0" applyNumberFormat="1" applyFont="1" applyFill="1" applyBorder="1" applyAlignment="1">
      <alignment horizontal="right" vertical="center"/>
    </xf>
    <xf numFmtId="164" fontId="14" fillId="17" borderId="50" xfId="0" applyNumberFormat="1" applyFont="1" applyFill="1" applyBorder="1" applyAlignment="1" applyProtection="1">
      <alignment horizontal="right" vertical="center"/>
      <protection locked="0"/>
    </xf>
    <xf numFmtId="164" fontId="14" fillId="17" borderId="52" xfId="0" applyNumberFormat="1" applyFont="1" applyFill="1" applyBorder="1" applyAlignment="1">
      <alignment horizontal="right" vertical="center"/>
    </xf>
    <xf numFmtId="0" fontId="14" fillId="17" borderId="50" xfId="0" applyFont="1" applyFill="1" applyBorder="1" applyAlignment="1">
      <alignment horizontal="right" vertical="center" wrapText="1"/>
    </xf>
    <xf numFmtId="0" fontId="20" fillId="17" borderId="50" xfId="0" applyFont="1" applyFill="1" applyBorder="1" applyAlignment="1">
      <alignment horizontal="right" vertical="center" wrapText="1"/>
    </xf>
    <xf numFmtId="164" fontId="14" fillId="17" borderId="50" xfId="0" applyNumberFormat="1" applyFont="1" applyFill="1" applyBorder="1" applyAlignment="1">
      <alignment horizontal="right" vertical="center"/>
    </xf>
    <xf numFmtId="164" fontId="14" fillId="17" borderId="53" xfId="0" applyNumberFormat="1" applyFont="1" applyFill="1" applyBorder="1" applyAlignment="1" applyProtection="1">
      <alignment horizontal="right" vertical="center"/>
      <protection locked="0"/>
    </xf>
    <xf numFmtId="164" fontId="14" fillId="17" borderId="53" xfId="0" applyNumberFormat="1" applyFont="1" applyFill="1" applyBorder="1" applyAlignment="1">
      <alignment horizontal="right" vertical="center"/>
    </xf>
    <xf numFmtId="164" fontId="14" fillId="17" borderId="38" xfId="0" applyNumberFormat="1" applyFont="1" applyFill="1" applyBorder="1" applyAlignment="1" applyProtection="1">
      <alignment horizontal="right" vertical="center"/>
      <protection locked="0"/>
    </xf>
    <xf numFmtId="164" fontId="14" fillId="17" borderId="28" xfId="0" applyNumberFormat="1" applyFont="1" applyFill="1" applyBorder="1" applyAlignment="1" applyProtection="1">
      <alignment horizontal="right" vertical="center"/>
      <protection locked="0"/>
    </xf>
    <xf numFmtId="164" fontId="14" fillId="17" borderId="48" xfId="0" applyNumberFormat="1" applyFont="1" applyFill="1" applyBorder="1" applyAlignment="1">
      <alignment horizontal="right" vertical="center"/>
    </xf>
    <xf numFmtId="164" fontId="14" fillId="17" borderId="14" xfId="0" applyNumberFormat="1" applyFont="1" applyFill="1" applyBorder="1" applyAlignment="1">
      <alignment horizontal="right" vertical="center"/>
    </xf>
    <xf numFmtId="164" fontId="14" fillId="17" borderId="28" xfId="0" applyNumberFormat="1" applyFont="1" applyFill="1" applyBorder="1" applyAlignment="1">
      <alignment horizontal="right" vertical="center"/>
    </xf>
    <xf numFmtId="0" fontId="11" fillId="10" borderId="0" xfId="0" applyFont="1" applyFill="1"/>
    <xf numFmtId="0" fontId="10" fillId="10" borderId="0" xfId="0" applyFont="1" applyFill="1"/>
    <xf numFmtId="0" fontId="12" fillId="10" borderId="0" xfId="0" applyFont="1" applyFill="1"/>
    <xf numFmtId="0" fontId="10" fillId="10" borderId="0" xfId="0" applyFont="1" applyFill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0" xfId="0" applyFont="1" applyFill="1" applyAlignment="1">
      <alignment vertical="center"/>
    </xf>
    <xf numFmtId="14" fontId="18" fillId="15" borderId="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24" fillId="0" borderId="0" xfId="0" applyFont="1"/>
    <xf numFmtId="0" fontId="11" fillId="5" borderId="5" xfId="0" applyFont="1" applyFill="1" applyBorder="1" applyAlignment="1">
      <alignment vertical="center" wrapText="1"/>
    </xf>
    <xf numFmtId="14" fontId="18" fillId="14" borderId="6" xfId="0" applyNumberFormat="1" applyFont="1" applyFill="1" applyBorder="1" applyAlignment="1" applyProtection="1">
      <alignment horizontal="center"/>
      <protection locked="0"/>
    </xf>
    <xf numFmtId="164" fontId="25" fillId="0" borderId="0" xfId="0" applyNumberFormat="1" applyFont="1"/>
    <xf numFmtId="0" fontId="25" fillId="0" borderId="0" xfId="0" applyFont="1"/>
    <xf numFmtId="0" fontId="11" fillId="5" borderId="5" xfId="0" applyFont="1" applyFill="1" applyBorder="1" applyAlignment="1">
      <alignment vertical="center" wrapText="1"/>
    </xf>
    <xf numFmtId="0" fontId="0" fillId="5" borderId="5" xfId="0" applyFill="1" applyBorder="1" applyAlignment="1"/>
    <xf numFmtId="0" fontId="11" fillId="18" borderId="1" xfId="0" applyFont="1" applyFill="1" applyBorder="1" applyAlignment="1">
      <alignment vertical="center" wrapText="1"/>
    </xf>
    <xf numFmtId="0" fontId="10" fillId="18" borderId="3" xfId="0" applyFont="1" applyFill="1" applyBorder="1" applyAlignment="1">
      <alignment vertical="center" wrapText="1"/>
    </xf>
    <xf numFmtId="0" fontId="11" fillId="18" borderId="5" xfId="0" applyFont="1" applyFill="1" applyBorder="1" applyAlignment="1">
      <alignment vertical="center" wrapText="1"/>
    </xf>
    <xf numFmtId="0" fontId="10" fillId="18" borderId="7" xfId="0" applyFont="1" applyFill="1" applyBorder="1" applyAlignment="1">
      <alignment vertical="center" wrapText="1"/>
    </xf>
    <xf numFmtId="0" fontId="10" fillId="18" borderId="7" xfId="0" applyFont="1" applyFill="1" applyBorder="1" applyAlignment="1">
      <alignment horizontal="right" vertical="center" wrapText="1"/>
    </xf>
    <xf numFmtId="0" fontId="11" fillId="18" borderId="7" xfId="0" applyFont="1" applyFill="1" applyBorder="1" applyAlignment="1">
      <alignment horizontal="right" vertical="center" wrapText="1"/>
    </xf>
    <xf numFmtId="0" fontId="11" fillId="18" borderId="9" xfId="0" applyFont="1" applyFill="1" applyBorder="1" applyAlignment="1">
      <alignment vertical="center" wrapText="1"/>
    </xf>
    <xf numFmtId="0" fontId="10" fillId="18" borderId="11" xfId="0" applyFont="1" applyFill="1" applyBorder="1" applyAlignment="1">
      <alignment vertical="center" wrapText="1"/>
    </xf>
    <xf numFmtId="164" fontId="10" fillId="18" borderId="9" xfId="0" applyNumberFormat="1" applyFont="1" applyFill="1" applyBorder="1" applyAlignment="1" applyProtection="1">
      <alignment horizontal="right" vertical="center"/>
      <protection locked="0"/>
    </xf>
    <xf numFmtId="0" fontId="11" fillId="18" borderId="0" xfId="0" applyFont="1" applyFill="1" applyAlignment="1">
      <alignment vertical="center" wrapText="1"/>
    </xf>
    <xf numFmtId="0" fontId="10" fillId="18" borderId="0" xfId="0" applyFont="1" applyFill="1" applyAlignment="1">
      <alignment vertical="center" wrapText="1"/>
    </xf>
    <xf numFmtId="0" fontId="11" fillId="18" borderId="13" xfId="0" applyFont="1" applyFill="1" applyBorder="1" applyAlignment="1">
      <alignment vertical="center" wrapText="1"/>
    </xf>
    <xf numFmtId="0" fontId="10" fillId="18" borderId="14" xfId="0" applyFont="1" applyFill="1" applyBorder="1" applyAlignment="1">
      <alignment vertical="center" wrapText="1"/>
    </xf>
    <xf numFmtId="0" fontId="11" fillId="18" borderId="15" xfId="0" applyFont="1" applyFill="1" applyBorder="1" applyAlignment="1">
      <alignment vertical="center" wrapText="1"/>
    </xf>
    <xf numFmtId="0" fontId="10" fillId="18" borderId="16" xfId="0" applyFont="1" applyFill="1" applyBorder="1" applyAlignment="1">
      <alignment vertical="center" wrapText="1"/>
    </xf>
    <xf numFmtId="164" fontId="10" fillId="18" borderId="9" xfId="0" applyNumberFormat="1" applyFont="1" applyFill="1" applyBorder="1" applyAlignment="1" applyProtection="1">
      <alignment horizontal="right" vertical="center"/>
    </xf>
    <xf numFmtId="164" fontId="10" fillId="18" borderId="0" xfId="0" applyNumberFormat="1" applyFont="1" applyFill="1" applyBorder="1" applyAlignment="1" applyProtection="1">
      <alignment horizontal="right" vertical="center"/>
    </xf>
    <xf numFmtId="164" fontId="10" fillId="18" borderId="12" xfId="0" applyNumberFormat="1" applyFont="1" applyFill="1" applyBorder="1" applyAlignment="1" applyProtection="1">
      <alignment horizontal="right" vertical="center"/>
    </xf>
    <xf numFmtId="9" fontId="10" fillId="18" borderId="16" xfId="0" applyNumberFormat="1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0" fillId="5" borderId="5" xfId="0" applyFill="1" applyBorder="1" applyAlignment="1"/>
    <xf numFmtId="0" fontId="11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20" fillId="17" borderId="32" xfId="0" applyFont="1" applyFill="1" applyBorder="1" applyAlignment="1">
      <alignment vertical="center" wrapText="1"/>
    </xf>
    <xf numFmtId="0" fontId="20" fillId="17" borderId="37" xfId="0" applyFont="1" applyFill="1" applyBorder="1" applyAlignment="1">
      <alignment vertical="center" wrapText="1"/>
    </xf>
    <xf numFmtId="0" fontId="20" fillId="17" borderId="35" xfId="0" applyFont="1" applyFill="1" applyBorder="1" applyAlignment="1">
      <alignment vertical="center" wrapText="1"/>
    </xf>
    <xf numFmtId="9" fontId="10" fillId="5" borderId="19" xfId="0" applyNumberFormat="1" applyFont="1" applyFill="1" applyBorder="1" applyAlignment="1" applyProtection="1">
      <alignment vertical="center" wrapText="1"/>
      <protection locked="0"/>
    </xf>
    <xf numFmtId="0" fontId="11" fillId="18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20" fillId="17" borderId="32" xfId="0" applyFont="1" applyFill="1" applyBorder="1" applyAlignment="1">
      <alignment vertical="center" wrapText="1"/>
    </xf>
    <xf numFmtId="0" fontId="20" fillId="17" borderId="37" xfId="0" applyFont="1" applyFill="1" applyBorder="1" applyAlignment="1">
      <alignment vertical="center" wrapText="1"/>
    </xf>
    <xf numFmtId="0" fontId="20" fillId="17" borderId="35" xfId="0" applyFont="1" applyFill="1" applyBorder="1" applyAlignment="1">
      <alignment vertical="center" wrapText="1"/>
    </xf>
    <xf numFmtId="0" fontId="5" fillId="20" borderId="5" xfId="0" applyFont="1" applyFill="1" applyBorder="1" applyAlignment="1">
      <alignment vertical="center" wrapText="1"/>
    </xf>
    <xf numFmtId="0" fontId="0" fillId="20" borderId="5" xfId="0" applyFill="1" applyBorder="1" applyAlignment="1"/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14" fillId="17" borderId="28" xfId="0" applyFont="1" applyFill="1" applyBorder="1" applyAlignment="1" applyProtection="1">
      <alignment vertical="center" wrapText="1"/>
      <protection locked="0"/>
    </xf>
    <xf numFmtId="0" fontId="26" fillId="0" borderId="0" xfId="0" applyFont="1"/>
    <xf numFmtId="0" fontId="11" fillId="25" borderId="0" xfId="0" applyFont="1" applyFill="1"/>
    <xf numFmtId="0" fontId="10" fillId="25" borderId="0" xfId="0" applyFont="1" applyFill="1"/>
    <xf numFmtId="0" fontId="10" fillId="25" borderId="0" xfId="0" applyFont="1" applyFill="1" applyAlignment="1">
      <alignment horizontal="center"/>
    </xf>
    <xf numFmtId="0" fontId="10" fillId="25" borderId="0" xfId="0" applyFont="1" applyFill="1" applyBorder="1"/>
    <xf numFmtId="0" fontId="11" fillId="25" borderId="0" xfId="0" applyFont="1" applyFill="1" applyAlignment="1" applyProtection="1">
      <alignment horizontal="center" vertical="center" wrapText="1"/>
    </xf>
    <xf numFmtId="0" fontId="11" fillId="25" borderId="0" xfId="0" applyFont="1" applyFill="1" applyAlignment="1">
      <alignment horizontal="center"/>
    </xf>
    <xf numFmtId="0" fontId="11" fillId="25" borderId="1" xfId="0" applyFont="1" applyFill="1" applyBorder="1" applyAlignment="1">
      <alignment vertical="center" wrapText="1"/>
    </xf>
    <xf numFmtId="0" fontId="10" fillId="25" borderId="3" xfId="0" applyFont="1" applyFill="1" applyBorder="1" applyAlignment="1">
      <alignment vertical="center" wrapText="1"/>
    </xf>
    <xf numFmtId="164" fontId="10" fillId="25" borderId="1" xfId="0" applyNumberFormat="1" applyFont="1" applyFill="1" applyBorder="1" applyAlignment="1" applyProtection="1">
      <alignment horizontal="right" vertical="center"/>
      <protection locked="0"/>
    </xf>
    <xf numFmtId="164" fontId="10" fillId="25" borderId="2" xfId="0" applyNumberFormat="1" applyFont="1" applyFill="1" applyBorder="1" applyAlignment="1" applyProtection="1">
      <alignment horizontal="right" vertical="center"/>
    </xf>
    <xf numFmtId="164" fontId="10" fillId="25" borderId="2" xfId="0" applyNumberFormat="1" applyFont="1" applyFill="1" applyBorder="1" applyAlignment="1" applyProtection="1">
      <alignment horizontal="right" vertical="center"/>
      <protection locked="0"/>
    </xf>
    <xf numFmtId="164" fontId="10" fillId="25" borderId="3" xfId="0" applyNumberFormat="1" applyFont="1" applyFill="1" applyBorder="1" applyAlignment="1" applyProtection="1">
      <alignment horizontal="right" vertical="center"/>
      <protection locked="0"/>
    </xf>
    <xf numFmtId="164" fontId="10" fillId="25" borderId="0" xfId="0" applyNumberFormat="1" applyFont="1" applyFill="1" applyBorder="1" applyAlignment="1">
      <alignment horizontal="right" vertical="center"/>
    </xf>
    <xf numFmtId="164" fontId="10" fillId="25" borderId="4" xfId="0" applyNumberFormat="1" applyFont="1" applyFill="1" applyBorder="1" applyAlignment="1">
      <alignment horizontal="right" vertical="center"/>
    </xf>
    <xf numFmtId="0" fontId="11" fillId="25" borderId="5" xfId="0" applyFont="1" applyFill="1" applyBorder="1" applyAlignment="1">
      <alignment vertical="center" wrapText="1"/>
    </xf>
    <xf numFmtId="0" fontId="10" fillId="25" borderId="7" xfId="0" applyFont="1" applyFill="1" applyBorder="1" applyAlignment="1">
      <alignment vertical="center" wrapText="1"/>
    </xf>
    <xf numFmtId="164" fontId="10" fillId="25" borderId="5" xfId="0" applyNumberFormat="1" applyFont="1" applyFill="1" applyBorder="1" applyAlignment="1" applyProtection="1">
      <alignment horizontal="right" vertical="center"/>
      <protection locked="0"/>
    </xf>
    <xf numFmtId="164" fontId="10" fillId="25" borderId="6" xfId="0" applyNumberFormat="1" applyFont="1" applyFill="1" applyBorder="1" applyAlignment="1" applyProtection="1">
      <alignment horizontal="right" vertical="center"/>
    </xf>
    <xf numFmtId="164" fontId="10" fillId="25" borderId="6" xfId="0" applyNumberFormat="1" applyFont="1" applyFill="1" applyBorder="1" applyAlignment="1" applyProtection="1">
      <alignment horizontal="right" vertical="center"/>
      <protection locked="0"/>
    </xf>
    <xf numFmtId="164" fontId="10" fillId="25" borderId="7" xfId="0" applyNumberFormat="1" applyFont="1" applyFill="1" applyBorder="1" applyAlignment="1" applyProtection="1">
      <alignment horizontal="right" vertical="center"/>
      <protection locked="0"/>
    </xf>
    <xf numFmtId="164" fontId="10" fillId="25" borderId="8" xfId="0" applyNumberFormat="1" applyFont="1" applyFill="1" applyBorder="1" applyAlignment="1">
      <alignment horizontal="right" vertical="center"/>
    </xf>
    <xf numFmtId="0" fontId="10" fillId="25" borderId="7" xfId="0" applyFont="1" applyFill="1" applyBorder="1" applyAlignment="1">
      <alignment horizontal="right" vertical="center" wrapText="1"/>
    </xf>
    <xf numFmtId="0" fontId="11" fillId="25" borderId="7" xfId="0" applyFont="1" applyFill="1" applyBorder="1" applyAlignment="1">
      <alignment horizontal="right" vertical="center" wrapText="1"/>
    </xf>
    <xf numFmtId="164" fontId="10" fillId="25" borderId="5" xfId="0" applyNumberFormat="1" applyFont="1" applyFill="1" applyBorder="1" applyAlignment="1" applyProtection="1">
      <alignment horizontal="right" vertical="center"/>
    </xf>
    <xf numFmtId="164" fontId="10" fillId="25" borderId="7" xfId="0" applyNumberFormat="1" applyFont="1" applyFill="1" applyBorder="1" applyAlignment="1" applyProtection="1">
      <alignment horizontal="right" vertical="center"/>
    </xf>
    <xf numFmtId="0" fontId="11" fillId="25" borderId="9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vertical="center" wrapText="1"/>
    </xf>
    <xf numFmtId="164" fontId="10" fillId="25" borderId="9" xfId="0" applyNumberFormat="1" applyFont="1" applyFill="1" applyBorder="1" applyAlignment="1" applyProtection="1">
      <alignment horizontal="right" vertical="center"/>
      <protection locked="0"/>
    </xf>
    <xf numFmtId="164" fontId="10" fillId="25" borderId="10" xfId="0" applyNumberFormat="1" applyFont="1" applyFill="1" applyBorder="1" applyAlignment="1" applyProtection="1">
      <alignment horizontal="right" vertical="center"/>
    </xf>
    <xf numFmtId="164" fontId="10" fillId="25" borderId="11" xfId="0" applyNumberFormat="1" applyFont="1" applyFill="1" applyBorder="1" applyAlignment="1" applyProtection="1">
      <alignment horizontal="right" vertical="center"/>
      <protection locked="0"/>
    </xf>
    <xf numFmtId="164" fontId="10" fillId="25" borderId="12" xfId="0" applyNumberFormat="1" applyFont="1" applyFill="1" applyBorder="1" applyAlignment="1">
      <alignment horizontal="right" vertical="center"/>
    </xf>
    <xf numFmtId="0" fontId="11" fillId="25" borderId="0" xfId="0" applyFont="1" applyFill="1" applyAlignment="1">
      <alignment vertical="center" wrapText="1"/>
    </xf>
    <xf numFmtId="0" fontId="10" fillId="25" borderId="0" xfId="0" applyFont="1" applyFill="1" applyAlignment="1">
      <alignment vertical="center" wrapText="1"/>
    </xf>
    <xf numFmtId="164" fontId="10" fillId="25" borderId="0" xfId="0" applyNumberFormat="1" applyFont="1" applyFill="1" applyAlignment="1">
      <alignment horizontal="right" vertical="center"/>
    </xf>
    <xf numFmtId="0" fontId="11" fillId="25" borderId="13" xfId="0" applyFont="1" applyFill="1" applyBorder="1" applyAlignment="1">
      <alignment vertical="center" wrapText="1"/>
    </xf>
    <xf numFmtId="0" fontId="10" fillId="25" borderId="14" xfId="0" applyFont="1" applyFill="1" applyBorder="1" applyAlignment="1">
      <alignment vertical="center" wrapText="1"/>
    </xf>
    <xf numFmtId="164" fontId="10" fillId="25" borderId="1" xfId="0" applyNumberFormat="1" applyFont="1" applyFill="1" applyBorder="1" applyAlignment="1">
      <alignment horizontal="right" vertical="center"/>
    </xf>
    <xf numFmtId="164" fontId="10" fillId="25" borderId="2" xfId="0" applyNumberFormat="1" applyFont="1" applyFill="1" applyBorder="1" applyAlignment="1">
      <alignment horizontal="right" vertical="center"/>
    </xf>
    <xf numFmtId="164" fontId="10" fillId="25" borderId="3" xfId="0" applyNumberFormat="1" applyFont="1" applyFill="1" applyBorder="1" applyAlignment="1">
      <alignment horizontal="right" vertical="center"/>
    </xf>
    <xf numFmtId="0" fontId="11" fillId="25" borderId="15" xfId="0" applyFont="1" applyFill="1" applyBorder="1" applyAlignment="1">
      <alignment vertical="center" wrapText="1"/>
    </xf>
    <xf numFmtId="0" fontId="10" fillId="25" borderId="16" xfId="0" applyFont="1" applyFill="1" applyBorder="1" applyAlignment="1">
      <alignment vertical="center" wrapText="1"/>
    </xf>
    <xf numFmtId="164" fontId="10" fillId="25" borderId="9" xfId="0" applyNumberFormat="1" applyFont="1" applyFill="1" applyBorder="1" applyAlignment="1">
      <alignment horizontal="right" vertical="center"/>
    </xf>
    <xf numFmtId="164" fontId="10" fillId="25" borderId="10" xfId="0" applyNumberFormat="1" applyFont="1" applyFill="1" applyBorder="1" applyAlignment="1">
      <alignment horizontal="right" vertical="center"/>
    </xf>
    <xf numFmtId="164" fontId="10" fillId="25" borderId="11" xfId="0" applyNumberFormat="1" applyFont="1" applyFill="1" applyBorder="1" applyAlignment="1">
      <alignment horizontal="right" vertical="center"/>
    </xf>
    <xf numFmtId="0" fontId="12" fillId="25" borderId="0" xfId="0" applyFont="1" applyFill="1"/>
    <xf numFmtId="0" fontId="10" fillId="25" borderId="0" xfId="0" applyFont="1" applyFill="1" applyAlignment="1">
      <alignment horizontal="center"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Alignment="1">
      <alignment vertical="center"/>
    </xf>
    <xf numFmtId="169" fontId="24" fillId="0" borderId="0" xfId="0" applyNumberFormat="1" applyFont="1" applyFill="1"/>
    <xf numFmtId="171" fontId="0" fillId="0" borderId="0" xfId="0" applyNumberFormat="1"/>
    <xf numFmtId="0" fontId="0" fillId="0" borderId="0" xfId="0" applyAlignment="1">
      <alignment horizontal="right"/>
    </xf>
    <xf numFmtId="44" fontId="0" fillId="0" borderId="0" xfId="80" applyFont="1"/>
    <xf numFmtId="0" fontId="6" fillId="24" borderId="8" xfId="0" applyFont="1" applyFill="1" applyBorder="1" applyAlignment="1" applyProtection="1">
      <alignment horizontal="left" vertical="center"/>
    </xf>
    <xf numFmtId="0" fontId="12" fillId="23" borderId="8" xfId="0" applyFont="1" applyFill="1" applyBorder="1" applyAlignment="1" applyProtection="1">
      <alignment horizontal="left"/>
    </xf>
    <xf numFmtId="0" fontId="12" fillId="24" borderId="8" xfId="0" applyFont="1" applyFill="1" applyBorder="1" applyAlignment="1" applyProtection="1">
      <alignment horizontal="left"/>
    </xf>
    <xf numFmtId="0" fontId="11" fillId="18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0" fillId="5" borderId="5" xfId="0" applyFill="1" applyBorder="1" applyAlignment="1"/>
    <xf numFmtId="164" fontId="10" fillId="26" borderId="9" xfId="0" applyNumberFormat="1" applyFont="1" applyFill="1" applyBorder="1" applyAlignment="1" applyProtection="1">
      <alignment horizontal="right" vertical="center"/>
      <protection locked="0"/>
    </xf>
    <xf numFmtId="168" fontId="10" fillId="0" borderId="0" xfId="0" applyNumberFormat="1" applyFo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70" fontId="10" fillId="0" borderId="0" xfId="0" applyNumberFormat="1" applyFont="1" applyFill="1"/>
    <xf numFmtId="170" fontId="12" fillId="0" borderId="0" xfId="0" applyNumberFormat="1" applyFont="1" applyFill="1"/>
    <xf numFmtId="0" fontId="11" fillId="5" borderId="5" xfId="0" applyFont="1" applyFill="1" applyBorder="1" applyAlignment="1">
      <alignment vertical="center" wrapText="1"/>
    </xf>
    <xf numFmtId="44" fontId="0" fillId="0" borderId="0" xfId="0" applyNumberFormat="1"/>
    <xf numFmtId="0" fontId="11" fillId="0" borderId="0" xfId="0" applyFont="1" applyAlignment="1">
      <alignment horizontal="left"/>
    </xf>
    <xf numFmtId="166" fontId="12" fillId="0" borderId="1" xfId="0" applyNumberFormat="1" applyFont="1" applyBorder="1"/>
    <xf numFmtId="166" fontId="12" fillId="11" borderId="2" xfId="0" applyNumberFormat="1" applyFont="1" applyFill="1" applyBorder="1"/>
    <xf numFmtId="166" fontId="12" fillId="0" borderId="2" xfId="0" applyNumberFormat="1" applyFont="1" applyBorder="1"/>
    <xf numFmtId="166" fontId="12" fillId="0" borderId="3" xfId="0" applyNumberFormat="1" applyFont="1" applyBorder="1"/>
    <xf numFmtId="166" fontId="12" fillId="0" borderId="20" xfId="80" applyNumberFormat="1" applyFont="1" applyBorder="1"/>
    <xf numFmtId="166" fontId="12" fillId="11" borderId="6" xfId="0" applyNumberFormat="1" applyFont="1" applyFill="1" applyBorder="1"/>
    <xf numFmtId="166" fontId="12" fillId="0" borderId="6" xfId="0" applyNumberFormat="1" applyFont="1" applyBorder="1"/>
    <xf numFmtId="166" fontId="12" fillId="0" borderId="7" xfId="0" applyNumberFormat="1" applyFont="1" applyBorder="1"/>
    <xf numFmtId="166" fontId="12" fillId="0" borderId="43" xfId="80" applyNumberFormat="1" applyFont="1" applyBorder="1"/>
    <xf numFmtId="0" fontId="13" fillId="0" borderId="0" xfId="0" applyFont="1" applyAlignment="1">
      <alignment horizontal="left"/>
    </xf>
    <xf numFmtId="0" fontId="12" fillId="8" borderId="4" xfId="0" applyFont="1" applyFill="1" applyBorder="1" applyAlignment="1" applyProtection="1">
      <alignment horizontal="left" vertical="center"/>
    </xf>
    <xf numFmtId="0" fontId="12" fillId="0" borderId="0" xfId="0" applyFont="1"/>
    <xf numFmtId="0" fontId="10" fillId="14" borderId="0" xfId="0" applyFont="1" applyFill="1"/>
    <xf numFmtId="166" fontId="12" fillId="14" borderId="5" xfId="0" applyNumberFormat="1" applyFont="1" applyFill="1" applyBorder="1"/>
    <xf numFmtId="0" fontId="12" fillId="24" borderId="0" xfId="0" applyFont="1" applyFill="1"/>
    <xf numFmtId="166" fontId="12" fillId="24" borderId="5" xfId="0" applyNumberFormat="1" applyFont="1" applyFill="1" applyBorder="1"/>
    <xf numFmtId="166" fontId="12" fillId="24" borderId="6" xfId="0" applyNumberFormat="1" applyFont="1" applyFill="1" applyBorder="1"/>
    <xf numFmtId="166" fontId="12" fillId="24" borderId="7" xfId="0" applyNumberFormat="1" applyFont="1" applyFill="1" applyBorder="1"/>
    <xf numFmtId="0" fontId="13" fillId="24" borderId="0" xfId="0" applyFont="1" applyFill="1" applyAlignment="1">
      <alignment horizontal="center"/>
    </xf>
    <xf numFmtId="166" fontId="12" fillId="24" borderId="43" xfId="80" applyNumberFormat="1" applyFont="1" applyFill="1" applyBorder="1"/>
    <xf numFmtId="0" fontId="12" fillId="14" borderId="8" xfId="0" applyFont="1" applyFill="1" applyBorder="1" applyAlignment="1" applyProtection="1">
      <alignment horizontal="left" vertical="center"/>
    </xf>
    <xf numFmtId="0" fontId="12" fillId="0" borderId="0" xfId="0" applyFont="1" applyFill="1"/>
    <xf numFmtId="166" fontId="12" fillId="0" borderId="5" xfId="0" applyNumberFormat="1" applyFont="1" applyFill="1" applyBorder="1"/>
    <xf numFmtId="166" fontId="12" fillId="0" borderId="6" xfId="0" applyNumberFormat="1" applyFont="1" applyFill="1" applyBorder="1"/>
    <xf numFmtId="166" fontId="12" fillId="0" borderId="7" xfId="0" applyNumberFormat="1" applyFont="1" applyFill="1" applyBorder="1"/>
    <xf numFmtId="0" fontId="13" fillId="0" borderId="0" xfId="0" applyFont="1" applyFill="1" applyAlignment="1">
      <alignment horizontal="center"/>
    </xf>
    <xf numFmtId="166" fontId="12" fillId="0" borderId="43" xfId="80" applyNumberFormat="1" applyFont="1" applyFill="1" applyBorder="1"/>
    <xf numFmtId="0" fontId="12" fillId="8" borderId="8" xfId="0" applyFont="1" applyFill="1" applyBorder="1" applyAlignment="1" applyProtection="1">
      <alignment horizontal="left" vertical="center"/>
    </xf>
    <xf numFmtId="0" fontId="12" fillId="24" borderId="12" xfId="0" applyFont="1" applyFill="1" applyBorder="1" applyAlignment="1" applyProtection="1">
      <alignment horizontal="left" vertical="center"/>
    </xf>
    <xf numFmtId="166" fontId="12" fillId="24" borderId="9" xfId="0" applyNumberFormat="1" applyFont="1" applyFill="1" applyBorder="1"/>
    <xf numFmtId="166" fontId="12" fillId="24" borderId="10" xfId="0" applyNumberFormat="1" applyFont="1" applyFill="1" applyBorder="1"/>
    <xf numFmtId="166" fontId="12" fillId="24" borderId="11" xfId="0" applyNumberFormat="1" applyFont="1" applyFill="1" applyBorder="1"/>
    <xf numFmtId="166" fontId="12" fillId="24" borderId="48" xfId="80" applyNumberFormat="1" applyFont="1" applyFill="1" applyBorder="1"/>
    <xf numFmtId="0" fontId="12" fillId="24" borderId="0" xfId="0" applyFont="1" applyFill="1" applyBorder="1" applyAlignment="1" applyProtection="1">
      <alignment horizontal="left" vertical="center"/>
    </xf>
    <xf numFmtId="166" fontId="12" fillId="24" borderId="0" xfId="0" applyNumberFormat="1" applyFont="1" applyFill="1" applyBorder="1"/>
    <xf numFmtId="0" fontId="11" fillId="8" borderId="0" xfId="0" applyFont="1" applyFill="1"/>
    <xf numFmtId="0" fontId="10" fillId="8" borderId="0" xfId="0" applyFont="1" applyFill="1" applyBorder="1"/>
    <xf numFmtId="0" fontId="11" fillId="8" borderId="0" xfId="0" applyFont="1" applyFill="1" applyAlignment="1" applyProtection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164" fontId="10" fillId="8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8" borderId="2" xfId="0" applyNumberFormat="1" applyFont="1" applyFill="1" applyBorder="1" applyAlignment="1" applyProtection="1">
      <alignment horizontal="right" vertical="center" wrapText="1"/>
    </xf>
    <xf numFmtId="164" fontId="4" fillId="8" borderId="2" xfId="0" applyNumberFormat="1" applyFont="1" applyFill="1" applyBorder="1" applyAlignment="1" applyProtection="1">
      <alignment horizontal="right" vertical="center"/>
      <protection locked="0"/>
    </xf>
    <xf numFmtId="164" fontId="10" fillId="8" borderId="3" xfId="0" applyNumberFormat="1" applyFont="1" applyFill="1" applyBorder="1" applyAlignment="1" applyProtection="1">
      <alignment horizontal="right" vertical="center" wrapText="1"/>
      <protection locked="0"/>
    </xf>
    <xf numFmtId="164" fontId="10" fillId="8" borderId="0" xfId="0" applyNumberFormat="1" applyFont="1" applyFill="1" applyBorder="1" applyAlignment="1">
      <alignment horizontal="right" vertical="center" wrapText="1"/>
    </xf>
    <xf numFmtId="164" fontId="10" fillId="8" borderId="4" xfId="0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164" fontId="10" fillId="8" borderId="5" xfId="0" applyNumberFormat="1" applyFont="1" applyFill="1" applyBorder="1" applyAlignment="1" applyProtection="1">
      <alignment horizontal="right" vertical="center" wrapText="1"/>
      <protection locked="0"/>
    </xf>
    <xf numFmtId="164" fontId="10" fillId="8" borderId="6" xfId="0" applyNumberFormat="1" applyFont="1" applyFill="1" applyBorder="1" applyAlignment="1" applyProtection="1">
      <alignment horizontal="right" vertical="center" wrapText="1"/>
    </xf>
    <xf numFmtId="164" fontId="4" fillId="8" borderId="6" xfId="0" applyNumberFormat="1" applyFont="1" applyFill="1" applyBorder="1" applyAlignment="1" applyProtection="1">
      <alignment horizontal="right" vertical="center"/>
      <protection locked="0"/>
    </xf>
    <xf numFmtId="164" fontId="10" fillId="8" borderId="7" xfId="0" applyNumberFormat="1" applyFont="1" applyFill="1" applyBorder="1" applyAlignment="1" applyProtection="1">
      <alignment horizontal="right" vertical="center" wrapText="1"/>
      <protection locked="0"/>
    </xf>
    <xf numFmtId="164" fontId="10" fillId="8" borderId="8" xfId="0" applyNumberFormat="1" applyFont="1" applyFill="1" applyBorder="1" applyAlignment="1">
      <alignment horizontal="right" vertical="center" wrapText="1"/>
    </xf>
    <xf numFmtId="0" fontId="10" fillId="8" borderId="18" xfId="0" applyFont="1" applyFill="1" applyBorder="1" applyAlignment="1">
      <alignment horizontal="right" vertical="center" wrapText="1"/>
    </xf>
    <xf numFmtId="0" fontId="11" fillId="8" borderId="18" xfId="0" applyFont="1" applyFill="1" applyBorder="1" applyAlignment="1">
      <alignment horizontal="right" vertical="center" wrapText="1"/>
    </xf>
    <xf numFmtId="164" fontId="10" fillId="8" borderId="5" xfId="0" applyNumberFormat="1" applyFont="1" applyFill="1" applyBorder="1" applyAlignment="1" applyProtection="1">
      <alignment horizontal="right" vertical="center" wrapText="1"/>
    </xf>
    <xf numFmtId="164" fontId="10" fillId="8" borderId="7" xfId="0" applyNumberFormat="1" applyFont="1" applyFill="1" applyBorder="1" applyAlignment="1" applyProtection="1">
      <alignment horizontal="right" vertical="center" wrapText="1"/>
    </xf>
    <xf numFmtId="0" fontId="11" fillId="8" borderId="9" xfId="0" applyFont="1" applyFill="1" applyBorder="1" applyAlignment="1">
      <alignment vertical="center" wrapText="1"/>
    </xf>
    <xf numFmtId="9" fontId="10" fillId="8" borderId="19" xfId="0" applyNumberFormat="1" applyFont="1" applyFill="1" applyBorder="1" applyAlignment="1" applyProtection="1">
      <alignment vertical="center" wrapText="1"/>
      <protection locked="0"/>
    </xf>
    <xf numFmtId="164" fontId="10" fillId="8" borderId="9" xfId="0" applyNumberFormat="1" applyFont="1" applyFill="1" applyBorder="1" applyAlignment="1" applyProtection="1">
      <alignment horizontal="right" vertical="center" wrapText="1"/>
      <protection locked="0"/>
    </xf>
    <xf numFmtId="164" fontId="10" fillId="8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8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8" borderId="12" xfId="0" applyNumberFormat="1" applyFont="1" applyFill="1" applyBorder="1" applyAlignment="1">
      <alignment horizontal="right" vertical="center" wrapText="1"/>
    </xf>
    <xf numFmtId="0" fontId="11" fillId="8" borderId="0" xfId="0" applyFont="1" applyFill="1" applyAlignment="1">
      <alignment vertical="center" wrapText="1"/>
    </xf>
    <xf numFmtId="0" fontId="10" fillId="8" borderId="0" xfId="0" applyFont="1" applyFill="1" applyAlignment="1">
      <alignment vertical="center" wrapText="1"/>
    </xf>
    <xf numFmtId="164" fontId="10" fillId="8" borderId="0" xfId="0" applyNumberFormat="1" applyFont="1" applyFill="1" applyAlignment="1">
      <alignment horizontal="right" vertical="center" wrapText="1"/>
    </xf>
    <xf numFmtId="0" fontId="11" fillId="8" borderId="13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164" fontId="10" fillId="8" borderId="1" xfId="0" applyNumberFormat="1" applyFont="1" applyFill="1" applyBorder="1" applyAlignment="1">
      <alignment horizontal="right" vertical="center" wrapText="1"/>
    </xf>
    <xf numFmtId="164" fontId="10" fillId="8" borderId="2" xfId="0" applyNumberFormat="1" applyFont="1" applyFill="1" applyBorder="1" applyAlignment="1">
      <alignment horizontal="right" vertical="center" wrapText="1"/>
    </xf>
    <xf numFmtId="164" fontId="10" fillId="8" borderId="3" xfId="0" applyNumberFormat="1" applyFont="1" applyFill="1" applyBorder="1" applyAlignment="1">
      <alignment horizontal="right" vertical="center" wrapText="1"/>
    </xf>
    <xf numFmtId="0" fontId="11" fillId="8" borderId="15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164" fontId="10" fillId="8" borderId="9" xfId="0" applyNumberFormat="1" applyFont="1" applyFill="1" applyBorder="1" applyAlignment="1">
      <alignment horizontal="right" vertical="center" wrapText="1"/>
    </xf>
    <xf numFmtId="164" fontId="10" fillId="8" borderId="10" xfId="0" applyNumberFormat="1" applyFont="1" applyFill="1" applyBorder="1" applyAlignment="1">
      <alignment horizontal="right" vertical="center" wrapText="1"/>
    </xf>
    <xf numFmtId="164" fontId="10" fillId="8" borderId="11" xfId="0" applyNumberFormat="1" applyFont="1" applyFill="1" applyBorder="1" applyAlignment="1">
      <alignment horizontal="right" vertical="center" wrapText="1"/>
    </xf>
    <xf numFmtId="0" fontId="12" fillId="8" borderId="0" xfId="0" applyFont="1" applyFill="1"/>
    <xf numFmtId="0" fontId="10" fillId="8" borderId="0" xfId="0" applyFont="1" applyFill="1" applyAlignment="1">
      <alignment horizontal="center" vertical="center"/>
    </xf>
    <xf numFmtId="0" fontId="10" fillId="8" borderId="0" xfId="0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0" fontId="11" fillId="5" borderId="39" xfId="0" applyFont="1" applyFill="1" applyBorder="1" applyAlignment="1">
      <alignment vertical="center" wrapText="1"/>
    </xf>
    <xf numFmtId="0" fontId="0" fillId="5" borderId="39" xfId="0" applyFill="1" applyBorder="1" applyAlignment="1"/>
    <xf numFmtId="0" fontId="11" fillId="18" borderId="5" xfId="0" applyFont="1" applyFill="1" applyBorder="1" applyAlignment="1">
      <alignment vertical="center" wrapText="1"/>
    </xf>
    <xf numFmtId="0" fontId="0" fillId="18" borderId="5" xfId="0" applyFill="1" applyBorder="1" applyAlignment="1"/>
    <xf numFmtId="0" fontId="11" fillId="5" borderId="5" xfId="0" applyFont="1" applyFill="1" applyBorder="1" applyAlignment="1">
      <alignment vertical="center" wrapText="1"/>
    </xf>
    <xf numFmtId="0" fontId="0" fillId="5" borderId="5" xfId="0" applyFill="1" applyBorder="1" applyAlignment="1"/>
    <xf numFmtId="0" fontId="11" fillId="18" borderId="32" xfId="0" applyFont="1" applyFill="1" applyBorder="1" applyAlignment="1">
      <alignment vertical="center" wrapText="1"/>
    </xf>
    <xf numFmtId="0" fontId="11" fillId="18" borderId="37" xfId="0" applyFont="1" applyFill="1" applyBorder="1" applyAlignment="1">
      <alignment vertical="center" wrapText="1"/>
    </xf>
    <xf numFmtId="0" fontId="11" fillId="18" borderId="35" xfId="0" applyFont="1" applyFill="1" applyBorder="1" applyAlignment="1">
      <alignment vertical="center" wrapText="1"/>
    </xf>
    <xf numFmtId="0" fontId="20" fillId="17" borderId="32" xfId="0" applyFont="1" applyFill="1" applyBorder="1" applyAlignment="1">
      <alignment vertical="center" wrapText="1"/>
    </xf>
    <xf numFmtId="0" fontId="20" fillId="17" borderId="37" xfId="0" applyFont="1" applyFill="1" applyBorder="1" applyAlignment="1">
      <alignment vertical="center" wrapText="1"/>
    </xf>
    <xf numFmtId="0" fontId="20" fillId="17" borderId="3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0" fillId="6" borderId="5" xfId="0" applyFill="1" applyBorder="1" applyAlignment="1"/>
    <xf numFmtId="0" fontId="11" fillId="25" borderId="5" xfId="0" applyFont="1" applyFill="1" applyBorder="1" applyAlignment="1">
      <alignment vertical="center" wrapText="1"/>
    </xf>
    <xf numFmtId="0" fontId="0" fillId="25" borderId="5" xfId="0" applyFill="1" applyBorder="1" applyAlignment="1"/>
    <xf numFmtId="0" fontId="20" fillId="19" borderId="32" xfId="0" applyFont="1" applyFill="1" applyBorder="1" applyAlignment="1">
      <alignment vertical="center" wrapText="1"/>
    </xf>
    <xf numFmtId="0" fontId="20" fillId="19" borderId="37" xfId="0" applyFont="1" applyFill="1" applyBorder="1" applyAlignment="1">
      <alignment vertical="center" wrapText="1"/>
    </xf>
    <xf numFmtId="0" fontId="20" fillId="19" borderId="35" xfId="0" applyFont="1" applyFill="1" applyBorder="1" applyAlignment="1">
      <alignment vertical="center" wrapText="1"/>
    </xf>
    <xf numFmtId="0" fontId="5" fillId="20" borderId="5" xfId="0" applyFont="1" applyFill="1" applyBorder="1" applyAlignment="1">
      <alignment vertical="center" wrapText="1"/>
    </xf>
    <xf numFmtId="0" fontId="0" fillId="20" borderId="5" xfId="0" applyFill="1" applyBorder="1" applyAlignment="1"/>
    <xf numFmtId="0" fontId="0" fillId="5" borderId="5" xfId="0" applyFill="1" applyBorder="1" applyAlignment="1">
      <alignment vertical="center" wrapText="1"/>
    </xf>
    <xf numFmtId="0" fontId="11" fillId="8" borderId="5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</cellXfs>
  <cellStyles count="545">
    <cellStyle name="Currency" xfId="8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Normal" xfId="0" builtinId="0"/>
    <cellStyle name="Percent" xfId="1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theme" Target="theme/theme1.xml"/><Relationship Id="rId44" Type="http://schemas.openxmlformats.org/officeDocument/2006/relationships/styles" Target="styles.xml"/><Relationship Id="rId4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Comic Sans MS"/>
              </a:defRPr>
            </a:pPr>
            <a:r>
              <a:rPr lang="en-US" sz="1600" b="1" i="0" baseline="0">
                <a:effectLst/>
                <a:latin typeface="Comic Sans MS"/>
              </a:rPr>
              <a:t>Budget allocation (EU contribution) by type of cost</a:t>
            </a:r>
            <a:endParaRPr lang="en-US" sz="1600">
              <a:effectLst/>
              <a:latin typeface="Comic Sans MS"/>
            </a:endParaRPr>
          </a:p>
        </c:rich>
      </c:tx>
      <c:layout>
        <c:manualLayout>
          <c:xMode val="edge"/>
          <c:yMode val="edge"/>
          <c:x val="0.199215925474104"/>
          <c:y val="0.0365853658536585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100" b="1" i="0">
                    <a:latin typeface="Comic Sans M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'A3 Total '!$L$8:$L$14</c:f>
              <c:strCache>
                <c:ptCount val="7"/>
                <c:pt idx="0">
                  <c:v>Personnel</c:v>
                </c:pt>
                <c:pt idx="1">
                  <c:v>Subcontracting</c:v>
                </c:pt>
                <c:pt idx="2">
                  <c:v>Consumables</c:v>
                </c:pt>
                <c:pt idx="3">
                  <c:v>Travel</c:v>
                </c:pt>
                <c:pt idx="4">
                  <c:v>Equipment</c:v>
                </c:pt>
                <c:pt idx="5">
                  <c:v>sub Total</c:v>
                </c:pt>
                <c:pt idx="6">
                  <c:v>Indirect costs</c:v>
                </c:pt>
              </c:strCache>
            </c:strRef>
          </c:cat>
          <c:val>
            <c:numRef>
              <c:f>'A3 Total '!$M$8:$M$14</c:f>
              <c:numCache>
                <c:formatCode>#,#00</c:formatCode>
                <c:ptCount val="7"/>
                <c:pt idx="0">
                  <c:v>39.51045785539261</c:v>
                </c:pt>
                <c:pt idx="1">
                  <c:v>1.011257911848011</c:v>
                </c:pt>
                <c:pt idx="2">
                  <c:v>18.79615774187016</c:v>
                </c:pt>
                <c:pt idx="3">
                  <c:v>5.706913709231371</c:v>
                </c:pt>
                <c:pt idx="4">
                  <c:v>0.963648901779333</c:v>
                </c:pt>
                <c:pt idx="6">
                  <c:v>34.01156387987851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8100">
      <a:solidFill>
        <a:schemeClr val="accent1">
          <a:lumMod val="75000"/>
        </a:schemeClr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en-US" sz="144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rPr>
              <a:t>Total budget allocation by type of activity</a:t>
            </a:r>
          </a:p>
        </c:rich>
      </c:tx>
      <c:layout>
        <c:manualLayout>
          <c:xMode val="edge"/>
          <c:yMode val="edge"/>
          <c:x val="0.0477303352544849"/>
          <c:y val="0.044843049327354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5538026864289"/>
          <c:y val="0.294394265739204"/>
          <c:w val="0.319009619670183"/>
          <c:h val="0.60654743829667"/>
        </c:manualLayout>
      </c:layout>
      <c:pieChart>
        <c:varyColors val="1"/>
        <c:ser>
          <c:idx val="0"/>
          <c:order val="0"/>
          <c:explosion val="12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0.118572530237844"/>
                  <c:y val="-0.1812464249143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711905210413292"/>
                  <c:y val="0.0596857455598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14353501864899"/>
                  <c:y val="-0.01986653013664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 lIns="2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'A3 Total '!$D$43:$H$43</c:f>
              <c:strCache>
                <c:ptCount val="5"/>
                <c:pt idx="0">
                  <c:v>RTD</c:v>
                </c:pt>
                <c:pt idx="3">
                  <c:v>Management</c:v>
                </c:pt>
                <c:pt idx="4">
                  <c:v>Dissemination</c:v>
                </c:pt>
              </c:strCache>
            </c:strRef>
          </c:cat>
          <c:val>
            <c:numRef>
              <c:f>'A3 Total '!$D$44:$H$44</c:f>
              <c:numCache>
                <c:formatCode>#,#00</c:formatCode>
                <c:ptCount val="5"/>
                <c:pt idx="0">
                  <c:v>91.47698231624786</c:v>
                </c:pt>
                <c:pt idx="3">
                  <c:v>4.943312582351774</c:v>
                </c:pt>
                <c:pt idx="4">
                  <c:v>3.579705101400358</c:v>
                </c:pt>
              </c:numCache>
            </c:numRef>
          </c:val>
        </c:ser>
        <c:ser>
          <c:idx val="1"/>
          <c:order val="1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'A3 Total '!$D$43:$H$43</c:f>
              <c:strCache>
                <c:ptCount val="5"/>
                <c:pt idx="0">
                  <c:v>RTD</c:v>
                </c:pt>
                <c:pt idx="3">
                  <c:v>Management</c:v>
                </c:pt>
                <c:pt idx="4">
                  <c:v>Dissemination</c:v>
                </c:pt>
              </c:strCache>
            </c:strRef>
          </c:cat>
          <c:val>
            <c:numRef>
              <c:f>'A3 Total '!$D$45:$H$45</c:f>
              <c:numCache>
                <c:formatCode>General</c:formatCode>
                <c:ptCount val="5"/>
                <c:pt idx="0" formatCode="#.##0\ [$€-408]">
                  <c:v>1.0773891504E7</c:v>
                </c:pt>
                <c:pt idx="3" formatCode="#.##0\ [$€-408]">
                  <c:v>582208.902</c:v>
                </c:pt>
                <c:pt idx="4" formatCode="#.##0\ [$€-408]">
                  <c:v>421607.2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44"/>
      </c:pieChart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8100">
      <a:solidFill>
        <a:schemeClr val="accent1">
          <a:lumMod val="75000"/>
        </a:schemeClr>
      </a:solidFill>
    </a:ln>
  </c:spPr>
  <c:txPr>
    <a:bodyPr/>
    <a:lstStyle/>
    <a:p>
      <a:pPr>
        <a:defRPr sz="1200" b="1" i="0">
          <a:latin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 allocation (EU contribution) by type of cost</a:t>
            </a:r>
          </a:p>
        </c:rich>
      </c:tx>
      <c:overlay val="0"/>
    </c:title>
    <c:autoTitleDeleted val="0"/>
    <c:plotArea>
      <c:layout/>
      <c:ofPieChart>
        <c:ofPieType val="bar"/>
        <c:varyColors val="1"/>
        <c:ser>
          <c:idx val="0"/>
          <c:order val="0"/>
          <c:explosion val="11"/>
          <c:dLbls>
            <c:dLbl>
              <c:idx val="4"/>
              <c:layout>
                <c:manualLayout>
                  <c:x val="0.0174563591022443"/>
                  <c:y val="-0.0122448979591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'A3 Total '!$O$8:$O$13</c:f>
              <c:strCache>
                <c:ptCount val="6"/>
                <c:pt idx="0">
                  <c:v>Personnel</c:v>
                </c:pt>
                <c:pt idx="1">
                  <c:v>Subcontracting</c:v>
                </c:pt>
                <c:pt idx="2">
                  <c:v>Indirect costs</c:v>
                </c:pt>
                <c:pt idx="3">
                  <c:v>Equipment</c:v>
                </c:pt>
                <c:pt idx="4">
                  <c:v>Consumables</c:v>
                </c:pt>
                <c:pt idx="5">
                  <c:v>Travel</c:v>
                </c:pt>
              </c:strCache>
            </c:strRef>
          </c:cat>
          <c:val>
            <c:numRef>
              <c:f>'A3 Total '!$P$8:$P$13</c:f>
              <c:numCache>
                <c:formatCode>#,#00</c:formatCode>
                <c:ptCount val="6"/>
                <c:pt idx="0">
                  <c:v>39.51045785539261</c:v>
                </c:pt>
                <c:pt idx="1">
                  <c:v>1.011257911848011</c:v>
                </c:pt>
                <c:pt idx="2">
                  <c:v>34.01156387987851</c:v>
                </c:pt>
                <c:pt idx="3">
                  <c:v>0.963648901779333</c:v>
                </c:pt>
                <c:pt idx="4">
                  <c:v>18.79615774187016</c:v>
                </c:pt>
                <c:pt idx="5">
                  <c:v>5.706913709231371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41"/>
        <c:splitType val="pos"/>
        <c:splitPos val="3.0"/>
        <c:secondPieSize val="100"/>
        <c:serLines/>
      </c:ofPieChart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8100">
      <a:solidFill>
        <a:schemeClr val="accent1">
          <a:lumMod val="75000"/>
        </a:schemeClr>
      </a:solidFill>
    </a:ln>
  </c:spPr>
  <c:txPr>
    <a:bodyPr/>
    <a:lstStyle/>
    <a:p>
      <a:pPr>
        <a:defRPr b="1" i="0">
          <a:latin typeface="Comic Sans M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20</xdr:row>
      <xdr:rowOff>165100</xdr:rowOff>
    </xdr:from>
    <xdr:to>
      <xdr:col>5</xdr:col>
      <xdr:colOff>609600</xdr:colOff>
      <xdr:row>37</xdr:row>
      <xdr:rowOff>50800</xdr:rowOff>
    </xdr:to>
    <xdr:graphicFrame macro="">
      <xdr:nvGraphicFramePr>
        <xdr:cNvPr id="21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406400</xdr:colOff>
      <xdr:row>46</xdr:row>
      <xdr:rowOff>76200</xdr:rowOff>
    </xdr:from>
    <xdr:to>
      <xdr:col>7</xdr:col>
      <xdr:colOff>965200</xdr:colOff>
      <xdr:row>61</xdr:row>
      <xdr:rowOff>50800</xdr:rowOff>
    </xdr:to>
    <xdr:graphicFrame macro="">
      <xdr:nvGraphicFramePr>
        <xdr:cNvPr id="2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21</xdr:row>
      <xdr:rowOff>25400</xdr:rowOff>
    </xdr:from>
    <xdr:to>
      <xdr:col>11</xdr:col>
      <xdr:colOff>673100</xdr:colOff>
      <xdr:row>37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</sheetPr>
  <dimension ref="A1:V59"/>
  <sheetViews>
    <sheetView workbookViewId="0">
      <pane ySplit="6" topLeftCell="A7" activePane="bottomLeft" state="frozen"/>
      <selection activeCell="L56" sqref="L56"/>
      <selection pane="bottomLeft" activeCell="B13" sqref="B13"/>
    </sheetView>
  </sheetViews>
  <sheetFormatPr baseColWidth="10" defaultRowHeight="15" x14ac:dyDescent="0"/>
  <cols>
    <col min="1" max="1" width="10.83203125" style="2"/>
    <col min="2" max="2" width="18.6640625" style="118" customWidth="1"/>
    <col min="3" max="3" width="2.6640625" style="2" customWidth="1"/>
    <col min="4" max="4" width="13" style="2" customWidth="1"/>
    <col min="5" max="6" width="9.5" style="2" customWidth="1"/>
    <col min="7" max="7" width="16.83203125" style="2" customWidth="1"/>
    <col min="8" max="8" width="15.33203125" style="2" customWidth="1"/>
    <col min="9" max="9" width="13" style="2" customWidth="1"/>
    <col min="10" max="10" width="4.83203125" style="2" customWidth="1"/>
    <col min="11" max="11" width="14.5" style="2" customWidth="1"/>
    <col min="12" max="12" width="12.83203125" style="198" customWidth="1"/>
    <col min="13" max="13" width="12.5" style="2" customWidth="1"/>
    <col min="14" max="14" width="10.83203125" style="552"/>
    <col min="15" max="15" width="16.33203125" style="410" customWidth="1"/>
    <col min="16" max="16" width="14.1640625" style="410" bestFit="1" customWidth="1"/>
    <col min="17" max="17" width="14.6640625" style="410" bestFit="1" customWidth="1"/>
    <col min="18" max="18" width="13.6640625" style="410" customWidth="1"/>
    <col min="19" max="22" width="10.83203125" style="410"/>
    <col min="23" max="16384" width="10.83203125" style="2"/>
  </cols>
  <sheetData>
    <row r="1" spans="1:22" ht="16">
      <c r="A1" s="1" t="s">
        <v>0</v>
      </c>
      <c r="D1" s="561" t="s">
        <v>212</v>
      </c>
      <c r="E1" s="3"/>
      <c r="F1" s="3"/>
      <c r="G1" s="3"/>
      <c r="H1" s="3"/>
    </row>
    <row r="2" spans="1:22" ht="16">
      <c r="A2" s="1"/>
      <c r="D2" s="571" t="s">
        <v>213</v>
      </c>
      <c r="E2" s="3"/>
      <c r="F2" s="3"/>
      <c r="G2" s="3"/>
      <c r="H2" s="3"/>
    </row>
    <row r="3" spans="1:22" ht="16">
      <c r="A3" s="1" t="s">
        <v>1</v>
      </c>
      <c r="D3" s="3"/>
      <c r="E3" s="3"/>
      <c r="F3" s="3"/>
      <c r="G3" s="3"/>
      <c r="H3" s="3"/>
      <c r="L3" s="197" t="s">
        <v>174</v>
      </c>
      <c r="M3" s="196"/>
    </row>
    <row r="4" spans="1:22">
      <c r="A4" s="439" t="s">
        <v>181</v>
      </c>
      <c r="B4" s="119"/>
    </row>
    <row r="5" spans="1:22" ht="16" thickBot="1"/>
    <row r="6" spans="1:22" s="355" customFormat="1" ht="31" thickBot="1">
      <c r="B6" s="120" t="s">
        <v>53</v>
      </c>
      <c r="D6" s="356" t="s">
        <v>91</v>
      </c>
      <c r="E6" s="353" t="s">
        <v>87</v>
      </c>
      <c r="F6" s="353" t="s">
        <v>3</v>
      </c>
      <c r="G6" s="353" t="s">
        <v>84</v>
      </c>
      <c r="H6" s="353" t="s">
        <v>90</v>
      </c>
      <c r="I6" s="353" t="s">
        <v>7</v>
      </c>
      <c r="J6" s="353"/>
      <c r="K6" s="357" t="s">
        <v>85</v>
      </c>
      <c r="L6" s="322"/>
      <c r="M6" s="358" t="s">
        <v>173</v>
      </c>
      <c r="N6" s="553"/>
      <c r="O6" s="554"/>
      <c r="P6" s="554"/>
      <c r="Q6" s="555"/>
      <c r="R6" s="555"/>
      <c r="S6" s="556"/>
      <c r="T6" s="556"/>
      <c r="U6" s="556"/>
      <c r="V6" s="556"/>
    </row>
    <row r="7" spans="1:22">
      <c r="A7" s="323" t="s">
        <v>103</v>
      </c>
      <c r="B7" s="572" t="s">
        <v>21</v>
      </c>
      <c r="C7" s="573"/>
      <c r="D7" s="562">
        <f>'1.HCMR'!D16</f>
        <v>1409784</v>
      </c>
      <c r="E7" s="563"/>
      <c r="F7" s="563"/>
      <c r="G7" s="564">
        <f>'1.HCMR'!G16</f>
        <v>225082</v>
      </c>
      <c r="H7" s="564">
        <f>'1.HCMR'!H16</f>
        <v>92684</v>
      </c>
      <c r="I7" s="564">
        <f>'1.HCMR'!J16</f>
        <v>1727550</v>
      </c>
      <c r="J7" s="564"/>
      <c r="K7" s="565">
        <f>'1.HCMR'!J17</f>
        <v>1375104</v>
      </c>
      <c r="L7" s="354"/>
      <c r="M7" s="566">
        <f>K7-L7</f>
        <v>1375104</v>
      </c>
      <c r="O7" s="557"/>
      <c r="P7" s="557"/>
      <c r="Q7" s="557"/>
      <c r="R7" s="557"/>
      <c r="S7" s="557"/>
      <c r="T7" s="557"/>
      <c r="U7" s="557"/>
    </row>
    <row r="8" spans="1:22">
      <c r="A8" s="324" t="s">
        <v>102</v>
      </c>
      <c r="B8" s="121" t="s">
        <v>86</v>
      </c>
      <c r="D8" s="128">
        <f>'2.FCPCT'!D16</f>
        <v>871430.39999999991</v>
      </c>
      <c r="E8" s="146"/>
      <c r="F8" s="146"/>
      <c r="G8" s="127">
        <f>'2.FCPCT'!G16</f>
        <v>11640</v>
      </c>
      <c r="H8" s="127">
        <f>'2.FCPCT'!H16</f>
        <v>0</v>
      </c>
      <c r="I8" s="127">
        <f>'2.FCPCT'!J16</f>
        <v>883070.39999999991</v>
      </c>
      <c r="J8" s="127"/>
      <c r="K8" s="129">
        <f>'2.FCPCT'!J17</f>
        <v>665212.79999999993</v>
      </c>
      <c r="M8" s="402">
        <f t="shared" ref="M8:M46" si="0">K8-L8</f>
        <v>665212.79999999993</v>
      </c>
      <c r="O8" s="557"/>
      <c r="P8" s="557"/>
      <c r="Q8" s="557"/>
      <c r="R8" s="557"/>
      <c r="S8" s="557"/>
      <c r="T8" s="557"/>
      <c r="U8" s="557"/>
    </row>
    <row r="9" spans="1:22">
      <c r="A9" s="399" t="s">
        <v>170</v>
      </c>
      <c r="B9" s="121" t="s">
        <v>54</v>
      </c>
      <c r="D9" s="128">
        <f>'3.IRTA'!D16</f>
        <v>942941</v>
      </c>
      <c r="E9" s="146"/>
      <c r="F9" s="146"/>
      <c r="G9" s="127">
        <f>'3.IRTA'!G16</f>
        <v>27235</v>
      </c>
      <c r="H9" s="127">
        <f>'3.IRTA'!H16</f>
        <v>26211</v>
      </c>
      <c r="I9" s="127">
        <f>'3.IRTA'!J16</f>
        <v>996387</v>
      </c>
      <c r="J9" s="127"/>
      <c r="K9" s="129">
        <f>'3.IRTA'!J17</f>
        <v>760651.75</v>
      </c>
      <c r="M9" s="402">
        <f t="shared" si="0"/>
        <v>760651.75</v>
      </c>
      <c r="O9" s="557"/>
      <c r="P9" s="557"/>
      <c r="Q9" s="557"/>
      <c r="R9" s="557"/>
      <c r="S9" s="557"/>
      <c r="T9" s="557"/>
      <c r="U9" s="557"/>
    </row>
    <row r="10" spans="1:22">
      <c r="A10" s="354" t="s">
        <v>104</v>
      </c>
      <c r="B10" s="122" t="s">
        <v>55</v>
      </c>
      <c r="D10" s="128">
        <f>'4.IOLR'!D16</f>
        <v>556945.6</v>
      </c>
      <c r="E10" s="146"/>
      <c r="F10" s="146"/>
      <c r="G10" s="127">
        <f>'4.IOLR'!G16</f>
        <v>12352</v>
      </c>
      <c r="H10" s="127">
        <f>'4.IOLR'!H16</f>
        <v>0</v>
      </c>
      <c r="I10" s="127">
        <f>'4.IOLR'!J16</f>
        <v>569297.6</v>
      </c>
      <c r="J10" s="127"/>
      <c r="K10" s="129">
        <f>'4.IOLR'!J17</f>
        <v>430061.19999999995</v>
      </c>
      <c r="M10" s="402">
        <f t="shared" si="0"/>
        <v>430061.19999999995</v>
      </c>
      <c r="O10" s="557"/>
      <c r="P10" s="557"/>
      <c r="Q10" s="557"/>
      <c r="R10" s="557"/>
      <c r="S10" s="557"/>
      <c r="T10" s="557"/>
      <c r="U10" s="557"/>
    </row>
    <row r="11" spans="1:22">
      <c r="A11" s="198"/>
      <c r="B11" s="122" t="s">
        <v>56</v>
      </c>
      <c r="D11" s="128">
        <f>'5.UNIABD'!D16</f>
        <v>276416</v>
      </c>
      <c r="E11" s="146"/>
      <c r="F11" s="146"/>
      <c r="G11" s="127">
        <f>'5.UNIABD'!G16</f>
        <v>9696</v>
      </c>
      <c r="H11" s="127">
        <f>'5.UNIABD'!H16</f>
        <v>0</v>
      </c>
      <c r="I11" s="127">
        <f>'5.UNIABD'!J16</f>
        <v>286112</v>
      </c>
      <c r="J11" s="127"/>
      <c r="K11" s="129">
        <f>'5.UNIABD'!J17</f>
        <v>217008</v>
      </c>
      <c r="M11" s="402">
        <f t="shared" si="0"/>
        <v>217008</v>
      </c>
      <c r="O11" s="557"/>
      <c r="P11" s="557"/>
      <c r="Q11" s="557"/>
      <c r="R11" s="557"/>
      <c r="S11" s="557"/>
      <c r="T11" s="557"/>
      <c r="U11" s="557"/>
    </row>
    <row r="12" spans="1:22">
      <c r="A12" s="198"/>
      <c r="B12" s="582" t="s">
        <v>215</v>
      </c>
      <c r="C12" s="574"/>
      <c r="D12" s="575">
        <f>'6.DLO'!D16</f>
        <v>375944</v>
      </c>
      <c r="E12" s="567"/>
      <c r="F12" s="567"/>
      <c r="G12" s="568">
        <f>'6.DLO'!G16</f>
        <v>18000</v>
      </c>
      <c r="H12" s="568">
        <f>'6.DLO'!H16</f>
        <v>0</v>
      </c>
      <c r="I12" s="568">
        <f>'6.DLO'!J16</f>
        <v>393944</v>
      </c>
      <c r="J12" s="568"/>
      <c r="K12" s="569">
        <f>'6.DLO'!J17</f>
        <v>299958</v>
      </c>
      <c r="L12" s="354"/>
      <c r="M12" s="570">
        <f t="shared" si="0"/>
        <v>299958</v>
      </c>
      <c r="O12" s="557"/>
      <c r="P12" s="557"/>
      <c r="Q12" s="557"/>
      <c r="R12" s="557"/>
      <c r="S12" s="557"/>
      <c r="T12" s="557"/>
      <c r="U12" s="557"/>
    </row>
    <row r="13" spans="1:22">
      <c r="A13" s="198"/>
      <c r="B13" s="121" t="s">
        <v>57</v>
      </c>
      <c r="D13" s="128">
        <f>'7.IMR'!D16</f>
        <v>740346</v>
      </c>
      <c r="E13" s="146"/>
      <c r="F13" s="146"/>
      <c r="G13" s="127">
        <f>'7.IMR'!G16</f>
        <v>14999</v>
      </c>
      <c r="H13" s="127">
        <f>'7.IMR'!H16</f>
        <v>22001</v>
      </c>
      <c r="I13" s="127">
        <f>'7.IMR'!J16</f>
        <v>777346</v>
      </c>
      <c r="J13" s="127"/>
      <c r="K13" s="129">
        <f>'7.IMR'!J17</f>
        <v>592259.5</v>
      </c>
      <c r="M13" s="402">
        <f t="shared" si="0"/>
        <v>592259.5</v>
      </c>
      <c r="O13" s="557"/>
      <c r="P13" s="557"/>
      <c r="Q13" s="557"/>
      <c r="R13" s="557"/>
      <c r="S13" s="557"/>
      <c r="T13" s="557"/>
      <c r="U13" s="557"/>
    </row>
    <row r="14" spans="1:22">
      <c r="A14" s="198"/>
      <c r="B14" s="121" t="s">
        <v>58</v>
      </c>
      <c r="D14" s="128">
        <f>'8.IEO'!D16</f>
        <v>538267.19999999995</v>
      </c>
      <c r="E14" s="146"/>
      <c r="F14" s="146"/>
      <c r="G14" s="127">
        <f>'8.IEO'!G16</f>
        <v>7300.7999999999993</v>
      </c>
      <c r="H14" s="127">
        <f>'8.IEO'!H16</f>
        <v>19200</v>
      </c>
      <c r="I14" s="127">
        <f>'8.IEO'!J16</f>
        <v>564768</v>
      </c>
      <c r="J14" s="127"/>
      <c r="K14" s="129">
        <f>'8.IEO'!J17</f>
        <v>430201.19999999995</v>
      </c>
      <c r="M14" s="402">
        <f t="shared" si="0"/>
        <v>430201.19999999995</v>
      </c>
      <c r="O14" s="557"/>
      <c r="P14" s="557"/>
      <c r="Q14" s="557"/>
      <c r="R14" s="557"/>
      <c r="S14" s="557"/>
      <c r="T14" s="557"/>
      <c r="U14" s="557"/>
    </row>
    <row r="15" spans="1:22">
      <c r="A15" s="198"/>
      <c r="B15" s="121" t="s">
        <v>59</v>
      </c>
      <c r="D15" s="128">
        <f>'9.UL'!D16</f>
        <v>264052.8</v>
      </c>
      <c r="E15" s="146"/>
      <c r="F15" s="146"/>
      <c r="G15" s="127">
        <f>'9.UL'!G16</f>
        <v>14780.8</v>
      </c>
      <c r="H15" s="127">
        <f>'9.UL'!H16</f>
        <v>21120</v>
      </c>
      <c r="I15" s="127">
        <f>'9.UL'!J16</f>
        <v>299953.59999999998</v>
      </c>
      <c r="J15" s="127"/>
      <c r="K15" s="129">
        <f>'9.UL'!J17</f>
        <v>233940.39999999997</v>
      </c>
      <c r="M15" s="402">
        <f t="shared" si="0"/>
        <v>233940.39999999997</v>
      </c>
      <c r="O15" s="557"/>
      <c r="P15" s="557"/>
      <c r="Q15" s="557"/>
      <c r="R15" s="557"/>
      <c r="S15" s="557"/>
      <c r="T15" s="557"/>
      <c r="U15" s="557"/>
    </row>
    <row r="16" spans="1:22">
      <c r="A16" s="198"/>
      <c r="B16" s="121" t="s">
        <v>29</v>
      </c>
      <c r="D16" s="128">
        <f>'10.TUe'!D16</f>
        <v>351701</v>
      </c>
      <c r="E16" s="146"/>
      <c r="F16" s="146"/>
      <c r="G16" s="127">
        <f>'10.TUe'!G16</f>
        <v>15353</v>
      </c>
      <c r="H16" s="127">
        <f>'10.TUe'!H16</f>
        <v>0</v>
      </c>
      <c r="I16" s="127">
        <f>'10.TUe'!J16</f>
        <v>367054</v>
      </c>
      <c r="J16" s="127"/>
      <c r="K16" s="129">
        <f>'10.TUe'!J17</f>
        <v>279128.75</v>
      </c>
      <c r="M16" s="402">
        <f t="shared" si="0"/>
        <v>279128.75</v>
      </c>
      <c r="O16" s="557"/>
      <c r="P16" s="557"/>
      <c r="Q16" s="557"/>
      <c r="R16" s="557"/>
      <c r="S16" s="557"/>
      <c r="T16" s="557"/>
      <c r="U16" s="557"/>
    </row>
    <row r="17" spans="1:21">
      <c r="A17" s="198"/>
      <c r="B17" s="589" t="s">
        <v>60</v>
      </c>
      <c r="C17" s="583"/>
      <c r="D17" s="584">
        <f>'11.AU'!D16</f>
        <v>381137.6</v>
      </c>
      <c r="E17" s="585"/>
      <c r="F17" s="585"/>
      <c r="G17" s="585">
        <f>'11.AU'!G16</f>
        <v>12260</v>
      </c>
      <c r="H17" s="585">
        <f>'11.AU'!H16</f>
        <v>0</v>
      </c>
      <c r="I17" s="585">
        <f>'11.AU'!J16</f>
        <v>393397.6</v>
      </c>
      <c r="J17" s="585"/>
      <c r="K17" s="586">
        <f>'11.AU'!J17</f>
        <v>298113.19999999995</v>
      </c>
      <c r="L17" s="587"/>
      <c r="M17" s="588">
        <f t="shared" si="0"/>
        <v>298113.19999999995</v>
      </c>
      <c r="O17" s="557"/>
      <c r="P17" s="557"/>
      <c r="Q17" s="557"/>
      <c r="R17" s="557"/>
      <c r="S17" s="557"/>
      <c r="T17" s="557"/>
      <c r="U17" s="557"/>
    </row>
    <row r="18" spans="1:21">
      <c r="A18" s="198"/>
      <c r="B18" s="121" t="s">
        <v>61</v>
      </c>
      <c r="D18" s="128">
        <f>'12. APROMAR'!D16</f>
        <v>100048.8</v>
      </c>
      <c r="E18" s="146"/>
      <c r="F18" s="146"/>
      <c r="G18" s="127">
        <f>'12. APROMAR'!G16</f>
        <v>8349.6</v>
      </c>
      <c r="H18" s="127">
        <f>'12. APROMAR'!H16</f>
        <v>29024.400000000001</v>
      </c>
      <c r="I18" s="127">
        <f>'12. APROMAR'!J16</f>
        <v>137422.79999999999</v>
      </c>
      <c r="J18" s="127"/>
      <c r="K18" s="129">
        <f>'12. APROMAR'!J17</f>
        <v>87398.399999999994</v>
      </c>
      <c r="M18" s="402">
        <f t="shared" si="0"/>
        <v>87398.399999999994</v>
      </c>
      <c r="O18" s="557"/>
      <c r="P18" s="557"/>
      <c r="Q18" s="557"/>
      <c r="R18" s="557"/>
      <c r="S18" s="557"/>
      <c r="T18" s="557"/>
      <c r="U18" s="557"/>
    </row>
    <row r="19" spans="1:21">
      <c r="A19" s="198"/>
      <c r="B19" s="122" t="s">
        <v>62</v>
      </c>
      <c r="D19" s="128">
        <f>'13.UNIBA'!D16</f>
        <v>210104</v>
      </c>
      <c r="E19" s="146"/>
      <c r="F19" s="146"/>
      <c r="G19" s="127">
        <f>'13.UNIBA'!G16</f>
        <v>11499.2</v>
      </c>
      <c r="H19" s="127">
        <f>'13.UNIBA'!H16</f>
        <v>19312</v>
      </c>
      <c r="I19" s="127">
        <f>'13.UNIBA'!J16</f>
        <v>240915.20000000001</v>
      </c>
      <c r="J19" s="127"/>
      <c r="K19" s="129">
        <f>'13.UNIBA'!J17</f>
        <v>188389.2</v>
      </c>
      <c r="M19" s="402">
        <f t="shared" si="0"/>
        <v>188389.2</v>
      </c>
      <c r="O19" s="557"/>
      <c r="P19" s="557"/>
      <c r="Q19" s="557"/>
      <c r="R19" s="557"/>
      <c r="S19" s="557"/>
      <c r="T19" s="557"/>
      <c r="U19" s="557"/>
    </row>
    <row r="20" spans="1:21">
      <c r="A20" s="198"/>
      <c r="B20" s="122" t="s">
        <v>63</v>
      </c>
      <c r="D20" s="128">
        <f>'14.IFREMER'!D16</f>
        <v>127133</v>
      </c>
      <c r="E20" s="146"/>
      <c r="F20" s="146"/>
      <c r="G20" s="127">
        <f>'14.IFREMER'!G16</f>
        <v>8000</v>
      </c>
      <c r="H20" s="127">
        <f>'14.IFREMER'!H16</f>
        <v>0</v>
      </c>
      <c r="I20" s="127">
        <f>'14.IFREMER'!J16</f>
        <v>135133</v>
      </c>
      <c r="J20" s="127"/>
      <c r="K20" s="129">
        <f>'14.IFREMER'!J17</f>
        <v>103349.75</v>
      </c>
      <c r="M20" s="402">
        <f t="shared" si="0"/>
        <v>103349.75</v>
      </c>
      <c r="O20" s="557"/>
      <c r="P20" s="557"/>
      <c r="Q20" s="557"/>
      <c r="R20" s="557"/>
      <c r="S20" s="557"/>
      <c r="T20" s="557"/>
      <c r="U20" s="557"/>
    </row>
    <row r="21" spans="1:21">
      <c r="A21" s="198"/>
      <c r="B21" s="122" t="s">
        <v>64</v>
      </c>
      <c r="D21" s="128">
        <f>'15.ULL'!D16</f>
        <v>305888</v>
      </c>
      <c r="E21" s="146"/>
      <c r="F21" s="146"/>
      <c r="G21" s="127">
        <f>'15.ULL'!G16</f>
        <v>8104</v>
      </c>
      <c r="H21" s="127">
        <f>'15.ULL'!H16</f>
        <v>0</v>
      </c>
      <c r="I21" s="127">
        <f>'15.ULL'!J16</f>
        <v>313992</v>
      </c>
      <c r="J21" s="127"/>
      <c r="K21" s="129">
        <f>'15.ULL'!J17</f>
        <v>237520</v>
      </c>
      <c r="M21" s="402">
        <f t="shared" si="0"/>
        <v>237520</v>
      </c>
      <c r="O21" s="557"/>
      <c r="P21" s="557"/>
      <c r="Q21" s="557"/>
      <c r="R21" s="557"/>
      <c r="S21" s="557"/>
      <c r="T21" s="557"/>
      <c r="U21" s="557"/>
    </row>
    <row r="22" spans="1:21">
      <c r="A22" s="198"/>
      <c r="B22" s="121" t="s">
        <v>65</v>
      </c>
      <c r="D22" s="128">
        <f>'16.FUNDP'!D16</f>
        <v>281344</v>
      </c>
      <c r="E22" s="146"/>
      <c r="F22" s="146"/>
      <c r="G22" s="127">
        <f>'16.FUNDP'!G16</f>
        <v>8208</v>
      </c>
      <c r="H22" s="127">
        <f>'16.FUNDP'!H16</f>
        <v>0</v>
      </c>
      <c r="I22" s="127">
        <f>'16.FUNDP'!J16</f>
        <v>289552</v>
      </c>
      <c r="J22" s="127"/>
      <c r="K22" s="129">
        <f>'16.FUNDP'!J17</f>
        <v>219216</v>
      </c>
      <c r="M22" s="402">
        <f t="shared" si="0"/>
        <v>219216</v>
      </c>
      <c r="O22" s="557"/>
      <c r="P22" s="557"/>
      <c r="Q22" s="557"/>
      <c r="R22" s="557"/>
      <c r="S22" s="557"/>
      <c r="T22" s="557"/>
      <c r="U22" s="557"/>
    </row>
    <row r="23" spans="1:21">
      <c r="A23" s="323" t="s">
        <v>103</v>
      </c>
      <c r="B23" s="121" t="s">
        <v>66</v>
      </c>
      <c r="D23" s="128">
        <f>'17.NIFES'!D16</f>
        <v>192033</v>
      </c>
      <c r="E23" s="146"/>
      <c r="F23" s="146"/>
      <c r="G23" s="127">
        <f>'17.NIFES'!G16</f>
        <v>8400</v>
      </c>
      <c r="H23" s="127">
        <f>'17.NIFES'!H16</f>
        <v>0</v>
      </c>
      <c r="I23" s="127">
        <f>'17.NIFES'!J16</f>
        <v>200433</v>
      </c>
      <c r="J23" s="127"/>
      <c r="K23" s="129">
        <f>'17.NIFES'!J17</f>
        <v>152424.75</v>
      </c>
      <c r="M23" s="402">
        <f t="shared" si="0"/>
        <v>152424.75</v>
      </c>
      <c r="O23" s="557"/>
      <c r="P23" s="558"/>
      <c r="Q23" s="558"/>
      <c r="R23" s="558"/>
      <c r="S23" s="557"/>
      <c r="T23" s="557"/>
      <c r="U23" s="557"/>
    </row>
    <row r="24" spans="1:21">
      <c r="A24" s="324" t="s">
        <v>102</v>
      </c>
      <c r="B24" s="589" t="s">
        <v>67</v>
      </c>
      <c r="C24" s="583"/>
      <c r="D24" s="584">
        <f>'18.CTAQUA'!D16</f>
        <v>207641.59999999998</v>
      </c>
      <c r="E24" s="585"/>
      <c r="F24" s="585"/>
      <c r="G24" s="585">
        <f>'18.CTAQUA'!G16</f>
        <v>9520</v>
      </c>
      <c r="H24" s="585">
        <f>'18.CTAQUA'!H16</f>
        <v>88368</v>
      </c>
      <c r="I24" s="585">
        <f>'18.CTAQUA'!J16</f>
        <v>305529.59999999998</v>
      </c>
      <c r="J24" s="585"/>
      <c r="K24" s="586">
        <f>'18.CTAQUA'!J17</f>
        <v>253619.19999999998</v>
      </c>
      <c r="L24" s="587"/>
      <c r="M24" s="588">
        <f t="shared" si="0"/>
        <v>253619.19999999998</v>
      </c>
      <c r="O24" s="557"/>
      <c r="P24" s="557"/>
      <c r="Q24" s="557"/>
      <c r="R24" s="557"/>
      <c r="S24" s="557"/>
      <c r="T24" s="557"/>
      <c r="U24" s="557"/>
    </row>
    <row r="25" spans="1:21">
      <c r="A25" s="399" t="s">
        <v>170</v>
      </c>
      <c r="B25" s="122" t="s">
        <v>68</v>
      </c>
      <c r="D25" s="128">
        <f>'19.CMRM'!D16</f>
        <v>185065.59999999998</v>
      </c>
      <c r="E25" s="146"/>
      <c r="F25" s="146"/>
      <c r="G25" s="127">
        <f>'19.CMRM'!G16</f>
        <v>8500.7999999999993</v>
      </c>
      <c r="H25" s="127">
        <f>'19.CMRM'!H16</f>
        <v>0</v>
      </c>
      <c r="I25" s="127">
        <f>'19.CMRM'!J16</f>
        <v>193566.4</v>
      </c>
      <c r="J25" s="127"/>
      <c r="K25" s="129">
        <f>'19.CMRM'!J17</f>
        <v>147299.99999999997</v>
      </c>
      <c r="M25" s="402">
        <f t="shared" si="0"/>
        <v>147299.99999999997</v>
      </c>
      <c r="O25" s="557"/>
      <c r="P25" s="557"/>
      <c r="Q25" s="557"/>
      <c r="R25" s="557"/>
      <c r="S25" s="557"/>
      <c r="T25" s="557"/>
      <c r="U25" s="557"/>
    </row>
    <row r="26" spans="1:21">
      <c r="A26" s="198"/>
      <c r="B26" s="400" t="s">
        <v>69</v>
      </c>
      <c r="C26" s="412"/>
      <c r="D26" s="413">
        <f>'20.SARC'!D16</f>
        <v>140450</v>
      </c>
      <c r="E26" s="414"/>
      <c r="F26" s="414"/>
      <c r="G26" s="414">
        <f>'20.SARC'!G16</f>
        <v>14900</v>
      </c>
      <c r="H26" s="414">
        <f>'20.SARC'!H16</f>
        <v>0</v>
      </c>
      <c r="I26" s="414">
        <f>'20.SARC'!J16</f>
        <v>155350</v>
      </c>
      <c r="J26" s="414"/>
      <c r="K26" s="415">
        <f>'20.SARC'!J17</f>
        <v>85125</v>
      </c>
      <c r="L26" s="399"/>
      <c r="M26" s="416">
        <f t="shared" si="0"/>
        <v>85125</v>
      </c>
      <c r="O26" s="557"/>
      <c r="P26" s="557"/>
      <c r="Q26" s="557"/>
      <c r="R26" s="557"/>
      <c r="S26" s="557"/>
      <c r="T26" s="557"/>
      <c r="U26" s="557"/>
    </row>
    <row r="27" spans="1:21">
      <c r="A27" s="198"/>
      <c r="B27" s="121" t="s">
        <v>70</v>
      </c>
      <c r="D27" s="128">
        <f>'21.DTU'!D16</f>
        <v>293058</v>
      </c>
      <c r="E27" s="146"/>
      <c r="F27" s="146"/>
      <c r="G27" s="127">
        <f>'21.DTU'!G16</f>
        <v>8703</v>
      </c>
      <c r="H27" s="127">
        <f>'21.DTU'!H16</f>
        <v>0</v>
      </c>
      <c r="I27" s="127">
        <f>'21.DTU'!J16</f>
        <v>301761</v>
      </c>
      <c r="J27" s="127"/>
      <c r="K27" s="129">
        <f>'21.DTU'!J17</f>
        <v>228496.5</v>
      </c>
      <c r="M27" s="402">
        <f t="shared" si="0"/>
        <v>228496.5</v>
      </c>
      <c r="O27" s="557"/>
      <c r="P27" s="557"/>
      <c r="Q27" s="557"/>
      <c r="R27" s="557"/>
      <c r="S27" s="557"/>
      <c r="T27" s="557"/>
      <c r="U27" s="557"/>
    </row>
    <row r="28" spans="1:21">
      <c r="A28" s="198"/>
      <c r="B28" s="400" t="s">
        <v>71</v>
      </c>
      <c r="C28" s="412"/>
      <c r="D28" s="413">
        <f>'22.SWH'!D16</f>
        <v>235272.32000000001</v>
      </c>
      <c r="E28" s="414"/>
      <c r="F28" s="414"/>
      <c r="G28" s="414">
        <f>'22.SWH'!G16</f>
        <v>9616</v>
      </c>
      <c r="H28" s="414">
        <f>'22.SWH'!H16</f>
        <v>0</v>
      </c>
      <c r="I28" s="414">
        <f>'22.SWH'!J16</f>
        <v>244888.32000000001</v>
      </c>
      <c r="J28" s="414"/>
      <c r="K28" s="415">
        <f>'22.SWH'!J17</f>
        <v>127252.16</v>
      </c>
      <c r="L28" s="399"/>
      <c r="M28" s="416">
        <f t="shared" si="0"/>
        <v>127252.16</v>
      </c>
      <c r="O28" s="557"/>
      <c r="P28" s="557"/>
      <c r="Q28" s="557"/>
      <c r="R28" s="557"/>
      <c r="S28" s="557"/>
      <c r="T28" s="557"/>
      <c r="U28" s="557"/>
    </row>
    <row r="29" spans="1:21" s="410" customFormat="1">
      <c r="B29" s="409" t="s">
        <v>72</v>
      </c>
      <c r="C29" s="576"/>
      <c r="D29" s="577">
        <f>'23.ARGO'!D16</f>
        <v>443547.19999999995</v>
      </c>
      <c r="E29" s="578"/>
      <c r="F29" s="578"/>
      <c r="G29" s="578">
        <f>'23.ARGO'!G16</f>
        <v>9000</v>
      </c>
      <c r="H29" s="578">
        <f>'23.ARGO'!H16</f>
        <v>0</v>
      </c>
      <c r="I29" s="578">
        <f>'23.ARGO'!J16</f>
        <v>452547.19999999995</v>
      </c>
      <c r="J29" s="578"/>
      <c r="K29" s="579">
        <f>'23.ARGO'!J17</f>
        <v>341660.39999999997</v>
      </c>
      <c r="L29" s="580"/>
      <c r="M29" s="581">
        <f t="shared" si="0"/>
        <v>341660.39999999997</v>
      </c>
      <c r="N29" s="552"/>
      <c r="O29" s="557"/>
      <c r="P29" s="557"/>
      <c r="Q29" s="557"/>
      <c r="R29" s="557"/>
      <c r="S29" s="557"/>
      <c r="T29" s="557"/>
      <c r="U29" s="557"/>
    </row>
    <row r="30" spans="1:21" s="410" customFormat="1">
      <c r="A30" s="587" t="s">
        <v>214</v>
      </c>
      <c r="B30" s="409" t="s">
        <v>73</v>
      </c>
      <c r="C30" s="403"/>
      <c r="D30" s="404">
        <f>'24.ITICAL'!D16</f>
        <v>96423.263999999996</v>
      </c>
      <c r="E30" s="405"/>
      <c r="F30" s="405"/>
      <c r="G30" s="405">
        <f>'24.ITICAL'!G16</f>
        <v>2770.4319999999998</v>
      </c>
      <c r="H30" s="405">
        <f>'24.ITICAL'!H16</f>
        <v>0</v>
      </c>
      <c r="I30" s="405">
        <f>'24.ITICAL'!J16</f>
        <v>99193.695999999996</v>
      </c>
      <c r="J30" s="405"/>
      <c r="K30" s="406">
        <f>'24.ITICAL'!J17</f>
        <v>75087.88</v>
      </c>
      <c r="L30" s="407"/>
      <c r="M30" s="408">
        <f t="shared" si="0"/>
        <v>75087.88</v>
      </c>
      <c r="N30" s="552"/>
      <c r="O30" s="557"/>
      <c r="P30" s="557"/>
      <c r="Q30" s="557"/>
      <c r="R30" s="557"/>
      <c r="S30" s="557"/>
      <c r="T30" s="557"/>
      <c r="U30" s="557"/>
    </row>
    <row r="31" spans="1:21" s="410" customFormat="1">
      <c r="A31" s="411"/>
      <c r="B31" s="544" t="s">
        <v>135</v>
      </c>
      <c r="C31" s="403"/>
      <c r="D31" s="404">
        <f>'25.DOR'!D16</f>
        <v>85400</v>
      </c>
      <c r="E31" s="405"/>
      <c r="F31" s="405"/>
      <c r="G31" s="405">
        <f>'25.DOR'!G16</f>
        <v>8960</v>
      </c>
      <c r="H31" s="405">
        <f>'25.DOR'!H16</f>
        <v>0</v>
      </c>
      <c r="I31" s="405">
        <f>'25.DOR'!J16</f>
        <v>94360</v>
      </c>
      <c r="J31" s="405"/>
      <c r="K31" s="406">
        <f>'25.DOR'!J17</f>
        <v>73010</v>
      </c>
      <c r="L31" s="407"/>
      <c r="M31" s="408">
        <f t="shared" si="0"/>
        <v>73010</v>
      </c>
      <c r="N31" s="552"/>
      <c r="O31" s="557"/>
      <c r="P31" s="557"/>
      <c r="Q31" s="557"/>
      <c r="R31" s="557"/>
      <c r="S31" s="557"/>
      <c r="T31" s="557"/>
      <c r="U31" s="557"/>
    </row>
    <row r="32" spans="1:21" s="410" customFormat="1">
      <c r="A32" s="411"/>
      <c r="B32" s="409" t="s">
        <v>74</v>
      </c>
      <c r="C32" s="576"/>
      <c r="D32" s="577">
        <f>'26.GEI'!D16</f>
        <v>47200</v>
      </c>
      <c r="E32" s="578"/>
      <c r="F32" s="578"/>
      <c r="G32" s="578">
        <f>'26.GEI'!G16</f>
        <v>8960</v>
      </c>
      <c r="H32" s="578">
        <f>'26.GEI'!H16</f>
        <v>0</v>
      </c>
      <c r="I32" s="578">
        <f>'26.GEI'!J16</f>
        <v>56160</v>
      </c>
      <c r="J32" s="578"/>
      <c r="K32" s="579">
        <f>'26.GEI'!J17</f>
        <v>44360</v>
      </c>
      <c r="L32" s="580"/>
      <c r="M32" s="581">
        <f t="shared" si="0"/>
        <v>44360</v>
      </c>
      <c r="N32" s="552"/>
      <c r="O32" s="557"/>
      <c r="P32" s="557"/>
      <c r="Q32" s="557"/>
      <c r="R32" s="557"/>
      <c r="S32" s="557"/>
      <c r="T32" s="557"/>
      <c r="U32" s="557"/>
    </row>
    <row r="33" spans="1:21" s="410" customFormat="1">
      <c r="A33" s="411"/>
      <c r="B33" s="544" t="s">
        <v>75</v>
      </c>
      <c r="C33" s="403"/>
      <c r="D33" s="404">
        <f>'27.FORKYS'!D16</f>
        <v>180128</v>
      </c>
      <c r="E33" s="405"/>
      <c r="F33" s="405"/>
      <c r="G33" s="405">
        <f>'27.FORKYS'!G16</f>
        <v>10608</v>
      </c>
      <c r="H33" s="405">
        <f>'27.FORKYS'!H16</f>
        <v>0</v>
      </c>
      <c r="I33" s="405">
        <f>'27.FORKYS'!J16</f>
        <v>190736</v>
      </c>
      <c r="J33" s="405"/>
      <c r="K33" s="406">
        <f>'27.FORKYS'!J17</f>
        <v>145704</v>
      </c>
      <c r="L33" s="407"/>
      <c r="M33" s="408">
        <f t="shared" si="0"/>
        <v>145704</v>
      </c>
      <c r="N33" s="552"/>
      <c r="O33" s="557"/>
      <c r="P33" s="557"/>
      <c r="Q33" s="557"/>
      <c r="R33" s="557"/>
      <c r="S33" s="557"/>
      <c r="T33" s="557"/>
      <c r="U33" s="557"/>
    </row>
    <row r="34" spans="1:21" s="410" customFormat="1">
      <c r="A34" s="411"/>
      <c r="B34" s="544" t="s">
        <v>76</v>
      </c>
      <c r="C34" s="403"/>
      <c r="D34" s="404">
        <f>'28.CANEXMAR'!D16</f>
        <v>183200</v>
      </c>
      <c r="E34" s="405"/>
      <c r="F34" s="405"/>
      <c r="G34" s="405">
        <f>'28.CANEXMAR'!G16</f>
        <v>9040</v>
      </c>
      <c r="H34" s="405">
        <f>'28.CANEXMAR'!H16</f>
        <v>0</v>
      </c>
      <c r="I34" s="405">
        <f>'28.CANEXMAR'!J16</f>
        <v>192240</v>
      </c>
      <c r="J34" s="405"/>
      <c r="K34" s="406">
        <f>'28.CANEXMAR'!J17</f>
        <v>146440</v>
      </c>
      <c r="L34" s="407"/>
      <c r="M34" s="408">
        <f t="shared" si="0"/>
        <v>146440</v>
      </c>
      <c r="N34" s="552"/>
      <c r="O34" s="557"/>
      <c r="P34" s="557"/>
      <c r="Q34" s="557"/>
      <c r="R34" s="557"/>
      <c r="S34" s="557"/>
      <c r="T34" s="557"/>
      <c r="U34" s="557"/>
    </row>
    <row r="35" spans="1:21" s="410" customFormat="1">
      <c r="A35" s="587" t="s">
        <v>214</v>
      </c>
      <c r="B35" s="546" t="s">
        <v>77</v>
      </c>
      <c r="C35" s="403"/>
      <c r="D35" s="404">
        <f>'29.ASIALOR'!D16</f>
        <v>116924.8</v>
      </c>
      <c r="E35" s="405"/>
      <c r="F35" s="405"/>
      <c r="G35" s="405">
        <f>'29.ASIALOR'!G16</f>
        <v>2678.6</v>
      </c>
      <c r="H35" s="405">
        <f>'29.ASIALOR'!H16</f>
        <v>0</v>
      </c>
      <c r="I35" s="405">
        <f>'29.ASIALOR'!J16</f>
        <v>119603.4</v>
      </c>
      <c r="J35" s="405"/>
      <c r="K35" s="406">
        <f>'29.ASIALOR'!J17</f>
        <v>90372.200000000012</v>
      </c>
      <c r="L35" s="407"/>
      <c r="M35" s="408">
        <f t="shared" si="0"/>
        <v>90372.200000000012</v>
      </c>
      <c r="N35" s="552"/>
      <c r="O35" s="557"/>
      <c r="P35" s="557"/>
      <c r="Q35" s="557"/>
      <c r="R35" s="557"/>
      <c r="S35" s="557"/>
      <c r="T35" s="557"/>
      <c r="U35" s="557"/>
    </row>
    <row r="36" spans="1:21">
      <c r="A36" s="587" t="s">
        <v>214</v>
      </c>
      <c r="B36" s="545" t="s">
        <v>175</v>
      </c>
      <c r="C36" s="412"/>
      <c r="D36" s="413">
        <f>'30.CULMAREX'!D16</f>
        <v>17084.32</v>
      </c>
      <c r="E36" s="414"/>
      <c r="F36" s="414"/>
      <c r="G36" s="414">
        <f>'30.CULMAREX'!G16</f>
        <v>1497.87</v>
      </c>
      <c r="H36" s="414">
        <f>'30.CULMAREX'!H16</f>
        <v>0</v>
      </c>
      <c r="I36" s="414">
        <f>'30.CULMAREX'!J16</f>
        <v>18582.190000000002</v>
      </c>
      <c r="J36" s="414"/>
      <c r="K36" s="415">
        <f>'30.CULMAREX'!J17</f>
        <v>10040.029999999999</v>
      </c>
      <c r="L36" s="399"/>
      <c r="M36" s="416">
        <f t="shared" si="0"/>
        <v>10040.029999999999</v>
      </c>
      <c r="O36" s="557"/>
      <c r="P36" s="557"/>
      <c r="Q36" s="557"/>
      <c r="R36" s="557"/>
      <c r="S36" s="557"/>
      <c r="T36" s="557"/>
      <c r="U36" s="557"/>
    </row>
    <row r="37" spans="1:21">
      <c r="A37" s="198"/>
      <c r="B37" s="544" t="s">
        <v>78</v>
      </c>
      <c r="C37" s="403"/>
      <c r="D37" s="404">
        <f>'31.IRIDA'!D16</f>
        <v>63988.800000000003</v>
      </c>
      <c r="E37" s="405"/>
      <c r="F37" s="405"/>
      <c r="G37" s="405">
        <f>'31.IRIDA'!G16</f>
        <v>8960</v>
      </c>
      <c r="H37" s="405">
        <f>'31.IRIDA'!H16</f>
        <v>0</v>
      </c>
      <c r="I37" s="405">
        <f>'31.IRIDA'!J16</f>
        <v>72948.800000000003</v>
      </c>
      <c r="J37" s="405"/>
      <c r="K37" s="406">
        <f>'31.IRIDA'!J17</f>
        <v>56951.600000000006</v>
      </c>
      <c r="L37" s="407"/>
      <c r="M37" s="408">
        <f t="shared" si="0"/>
        <v>56951.600000000006</v>
      </c>
      <c r="O37" s="557"/>
      <c r="P37" s="557"/>
      <c r="Q37" s="557"/>
      <c r="R37" s="557"/>
      <c r="S37" s="557"/>
      <c r="T37" s="557"/>
      <c r="U37" s="557"/>
    </row>
    <row r="38" spans="1:21">
      <c r="A38" s="198"/>
      <c r="B38" s="121" t="s">
        <v>118</v>
      </c>
      <c r="D38" s="128">
        <f>'32. MC2'!D16</f>
        <v>43072</v>
      </c>
      <c r="E38" s="146"/>
      <c r="F38" s="146"/>
      <c r="G38" s="127">
        <f>'32. MC2'!G16</f>
        <v>8480</v>
      </c>
      <c r="H38" s="127">
        <f>'32. MC2'!H16</f>
        <v>0</v>
      </c>
      <c r="I38" s="127">
        <f>'32. MC2'!J16</f>
        <v>51552</v>
      </c>
      <c r="J38" s="127"/>
      <c r="K38" s="129">
        <f>'32. MC2'!J17</f>
        <v>40784</v>
      </c>
      <c r="M38" s="402">
        <f t="shared" si="0"/>
        <v>40784</v>
      </c>
      <c r="O38" s="557"/>
      <c r="P38" s="557"/>
      <c r="Q38" s="557"/>
      <c r="R38" s="557"/>
      <c r="S38" s="557"/>
      <c r="T38" s="557"/>
      <c r="U38" s="557"/>
    </row>
    <row r="39" spans="1:21">
      <c r="A39" s="198"/>
      <c r="B39" s="121" t="s">
        <v>117</v>
      </c>
      <c r="D39" s="128">
        <f>'33. FGM'!D16</f>
        <v>0</v>
      </c>
      <c r="E39" s="146"/>
      <c r="F39" s="146"/>
      <c r="G39" s="127">
        <f>'33. FGM'!G16</f>
        <v>6000</v>
      </c>
      <c r="H39" s="127">
        <f>'33. FGM'!H16</f>
        <v>13200</v>
      </c>
      <c r="I39" s="127">
        <f>'33. FGM'!J16</f>
        <v>19200</v>
      </c>
      <c r="J39" s="127"/>
      <c r="K39" s="129">
        <f>'33. FGM'!J17</f>
        <v>19200</v>
      </c>
      <c r="M39" s="402">
        <f t="shared" si="0"/>
        <v>19200</v>
      </c>
      <c r="O39" s="557"/>
      <c r="P39" s="557"/>
      <c r="Q39" s="557"/>
      <c r="R39" s="557"/>
      <c r="S39" s="557"/>
      <c r="T39" s="557"/>
      <c r="U39" s="557"/>
    </row>
    <row r="40" spans="1:21">
      <c r="A40" s="198"/>
      <c r="B40" s="409" t="s">
        <v>109</v>
      </c>
      <c r="C40" s="576"/>
      <c r="D40" s="577">
        <f>'34. BVFi'!D16</f>
        <v>0</v>
      </c>
      <c r="E40" s="578"/>
      <c r="F40" s="578"/>
      <c r="G40" s="578">
        <f>'34. BVFi'!G16</f>
        <v>7560</v>
      </c>
      <c r="H40" s="578">
        <f>'34. BVFi'!H16</f>
        <v>23902.400000000001</v>
      </c>
      <c r="I40" s="578">
        <f>'34. BVFi'!J16</f>
        <v>31462.400000000001</v>
      </c>
      <c r="J40" s="578"/>
      <c r="K40" s="579">
        <f>'34. BVFi'!J17</f>
        <v>31462.400000000001</v>
      </c>
      <c r="L40" s="580"/>
      <c r="M40" s="581">
        <f t="shared" si="0"/>
        <v>31462.400000000001</v>
      </c>
      <c r="O40" s="557"/>
      <c r="P40" s="557"/>
      <c r="Q40" s="557"/>
      <c r="R40" s="557"/>
      <c r="S40" s="557"/>
      <c r="T40" s="557"/>
      <c r="U40" s="557"/>
    </row>
    <row r="41" spans="1:21">
      <c r="B41" s="121" t="s">
        <v>119</v>
      </c>
      <c r="D41" s="128">
        <f>'35. MASZ'!D16</f>
        <v>0</v>
      </c>
      <c r="E41" s="146"/>
      <c r="F41" s="146"/>
      <c r="G41" s="127">
        <f>'35. MASZ'!G16</f>
        <v>6000</v>
      </c>
      <c r="H41" s="127">
        <f>'35. MASZ'!H16</f>
        <v>13800</v>
      </c>
      <c r="I41" s="127">
        <f>'35. MASZ'!J16</f>
        <v>19800</v>
      </c>
      <c r="J41" s="127"/>
      <c r="K41" s="129">
        <f>'35. MASZ'!J17</f>
        <v>19800</v>
      </c>
      <c r="M41" s="402">
        <f t="shared" si="0"/>
        <v>19800</v>
      </c>
      <c r="O41" s="557"/>
      <c r="P41" s="557"/>
      <c r="Q41" s="557"/>
      <c r="R41" s="557"/>
      <c r="S41" s="557"/>
      <c r="T41" s="557"/>
      <c r="U41" s="557"/>
    </row>
    <row r="42" spans="1:21">
      <c r="B42" s="121" t="s">
        <v>114</v>
      </c>
      <c r="D42" s="128">
        <f>'36. ANFACO'!D16</f>
        <v>0</v>
      </c>
      <c r="E42" s="146"/>
      <c r="F42" s="146"/>
      <c r="G42" s="127">
        <f>'36. ANFACO'!G16</f>
        <v>5554.8</v>
      </c>
      <c r="H42" s="127">
        <f>'36. ANFACO'!H16</f>
        <v>15104.4</v>
      </c>
      <c r="I42" s="127">
        <f>'36. ANFACO'!J16</f>
        <v>20659.2</v>
      </c>
      <c r="J42" s="127"/>
      <c r="K42" s="129">
        <f>'36. ANFACO'!J17</f>
        <v>20659.2</v>
      </c>
      <c r="M42" s="402">
        <f t="shared" si="0"/>
        <v>20659.2</v>
      </c>
      <c r="O42" s="557"/>
      <c r="P42" s="557"/>
      <c r="Q42" s="557"/>
      <c r="R42" s="557"/>
      <c r="S42" s="557"/>
      <c r="T42" s="557"/>
      <c r="U42" s="557"/>
    </row>
    <row r="43" spans="1:21">
      <c r="B43" s="121" t="s">
        <v>105</v>
      </c>
      <c r="D43" s="128">
        <f>'37. EUFIC'!D16</f>
        <v>0</v>
      </c>
      <c r="E43" s="146"/>
      <c r="F43" s="146"/>
      <c r="G43" s="127">
        <f>'37. EUFIC'!G16</f>
        <v>1800</v>
      </c>
      <c r="H43" s="127">
        <f>'37. EUFIC'!H16</f>
        <v>37680</v>
      </c>
      <c r="I43" s="127">
        <f>'37. EUFIC'!J16</f>
        <v>39480</v>
      </c>
      <c r="J43" s="127"/>
      <c r="K43" s="129">
        <f>'37. EUFIC'!J17</f>
        <v>39480</v>
      </c>
      <c r="M43" s="402">
        <f t="shared" si="0"/>
        <v>39480</v>
      </c>
      <c r="O43" s="557"/>
      <c r="P43" s="557"/>
      <c r="Q43" s="557"/>
      <c r="R43" s="557"/>
      <c r="S43" s="557"/>
      <c r="T43" s="557"/>
      <c r="U43" s="557"/>
    </row>
    <row r="44" spans="1:21" ht="16" thickBot="1">
      <c r="A44" s="354"/>
      <c r="B44" s="590" t="s">
        <v>143</v>
      </c>
      <c r="C44" s="576"/>
      <c r="D44" s="591">
        <f>'38. HRH'!D16</f>
        <v>296439.2</v>
      </c>
      <c r="E44" s="592"/>
      <c r="F44" s="592"/>
      <c r="G44" s="592">
        <f>'38. HRH'!G16</f>
        <v>8000</v>
      </c>
      <c r="H44" s="592">
        <f>'38. HRH'!H16</f>
        <v>0</v>
      </c>
      <c r="I44" s="592">
        <f>'38. HRH'!J16</f>
        <v>304439.2</v>
      </c>
      <c r="J44" s="592"/>
      <c r="K44" s="593">
        <f>'38. HRH'!J17</f>
        <v>230329.40000000002</v>
      </c>
      <c r="L44" s="580"/>
      <c r="M44" s="594">
        <f t="shared" si="0"/>
        <v>230329.40000000002</v>
      </c>
      <c r="O44" s="557"/>
      <c r="P44" s="558"/>
      <c r="Q44" s="558"/>
      <c r="R44" s="558"/>
      <c r="S44" s="557"/>
      <c r="T44" s="557"/>
      <c r="U44" s="557"/>
    </row>
    <row r="45" spans="1:21" ht="16" thickBot="1">
      <c r="A45" s="354" t="s">
        <v>104</v>
      </c>
      <c r="B45" s="595" t="s">
        <v>207</v>
      </c>
      <c r="C45" s="576"/>
      <c r="D45" s="596">
        <f>'39. Fish 2 BE'!D16</f>
        <v>171240</v>
      </c>
      <c r="E45" s="596"/>
      <c r="F45" s="596"/>
      <c r="G45" s="596">
        <f>'39. Fish 2 BE'!G16</f>
        <v>1920</v>
      </c>
      <c r="H45" s="596">
        <f>'39. Fish 2 BE'!H16</f>
        <v>0</v>
      </c>
      <c r="I45" s="596">
        <f>'39. Fish 2 BE'!J16</f>
        <v>173160</v>
      </c>
      <c r="J45" s="596"/>
      <c r="K45" s="596">
        <f>'39. Fish 2 BE'!J17</f>
        <v>130350</v>
      </c>
      <c r="L45" s="580"/>
      <c r="M45" s="594">
        <f t="shared" si="0"/>
        <v>130350</v>
      </c>
      <c r="O45" s="557"/>
      <c r="P45" s="558"/>
      <c r="Q45" s="558"/>
      <c r="R45" s="558"/>
      <c r="S45" s="557"/>
      <c r="T45" s="557"/>
      <c r="U45" s="557"/>
    </row>
    <row r="46" spans="1:21" ht="16" thickBot="1">
      <c r="A46" s="354" t="s">
        <v>104</v>
      </c>
      <c r="B46" s="595" t="s">
        <v>193</v>
      </c>
      <c r="C46" s="576"/>
      <c r="D46" s="596">
        <f>'40. GMF'!D16</f>
        <v>42240</v>
      </c>
      <c r="E46" s="596"/>
      <c r="F46" s="596"/>
      <c r="G46" s="596">
        <f>'40. GMF'!G16</f>
        <v>1920</v>
      </c>
      <c r="H46" s="596">
        <f>'40. GMF'!H16</f>
        <v>0</v>
      </c>
      <c r="I46" s="596">
        <f>'40. GMF'!J16</f>
        <v>44160</v>
      </c>
      <c r="J46" s="596"/>
      <c r="K46" s="596">
        <f>'40. GMF'!J17</f>
        <v>33600</v>
      </c>
      <c r="L46" s="580"/>
      <c r="M46" s="594">
        <f t="shared" si="0"/>
        <v>33600</v>
      </c>
      <c r="O46" s="557"/>
      <c r="P46" s="558"/>
      <c r="Q46" s="558"/>
      <c r="R46" s="558"/>
      <c r="S46" s="557"/>
      <c r="T46" s="557"/>
      <c r="U46" s="557"/>
    </row>
    <row r="47" spans="1:21">
      <c r="A47" s="3"/>
      <c r="B47" s="366" t="s">
        <v>7</v>
      </c>
      <c r="D47" s="160">
        <f>SUM(D7:D46)</f>
        <v>10773891.503999999</v>
      </c>
      <c r="G47" s="160">
        <f>SUM(G7:G46)</f>
        <v>582208.902</v>
      </c>
      <c r="H47" s="160">
        <f>SUM(H7:H46)</f>
        <v>421607.20000000007</v>
      </c>
      <c r="I47" s="160">
        <f>SUM(I7:I46)</f>
        <v>11777707.605999999</v>
      </c>
      <c r="J47" s="160"/>
      <c r="K47" s="160">
        <f>SUM(K7:K46)</f>
        <v>8961020.8700000029</v>
      </c>
      <c r="L47" s="401"/>
      <c r="M47" s="160">
        <f>SUM(M7:M46)</f>
        <v>8961020.8700000029</v>
      </c>
      <c r="O47" s="557"/>
      <c r="P47" s="557"/>
      <c r="Q47" s="557"/>
      <c r="R47" s="557"/>
      <c r="S47" s="557"/>
      <c r="T47" s="557"/>
      <c r="U47" s="557"/>
    </row>
    <row r="48" spans="1:21" ht="16" thickBot="1">
      <c r="B48" s="123"/>
      <c r="O48" s="557"/>
      <c r="P48" s="557"/>
      <c r="Q48" s="557"/>
      <c r="R48" s="557"/>
      <c r="S48" s="557"/>
      <c r="T48" s="557"/>
      <c r="U48" s="557"/>
    </row>
    <row r="49" spans="2:13">
      <c r="B49" s="130" t="s">
        <v>83</v>
      </c>
      <c r="C49" s="135"/>
      <c r="D49" s="131">
        <f>SUM(D7:D28)+D36+D38+D39+D41+D42+D43</f>
        <v>9047160.2399999984</v>
      </c>
      <c r="E49" s="147"/>
      <c r="F49" s="147"/>
      <c r="G49" s="131">
        <f>SUM(G7:G28)+G36+G38+G39+G41+G42+G43</f>
        <v>501831.86999999994</v>
      </c>
      <c r="H49" s="131">
        <f>SUM(H7:H28)+H36+H38+H39+H41+H42+H43</f>
        <v>397704.80000000005</v>
      </c>
      <c r="I49" s="131">
        <f>SUM(I7:I28)+I36+I38+I39+I41+I42+I43</f>
        <v>9946696.9099999983</v>
      </c>
      <c r="J49" s="135"/>
      <c r="K49" s="131">
        <f>SUM(K7:K28)+K36+K38+K39+K41+K42+K43</f>
        <v>7561692.9900000021</v>
      </c>
      <c r="M49" s="359">
        <f>SUM(M7:M28)+M36+M38+M39+M41+M42+M43</f>
        <v>7561692.9900000021</v>
      </c>
    </row>
    <row r="50" spans="2:13">
      <c r="B50" s="132" t="s">
        <v>88</v>
      </c>
      <c r="C50" s="136"/>
      <c r="D50" s="133">
        <f>SUM(D29:D37)-D36+D40+D44+D45+D46</f>
        <v>1726731.264</v>
      </c>
      <c r="E50" s="148"/>
      <c r="F50" s="148"/>
      <c r="G50" s="133">
        <f>SUM(G29:G37)-G36+G40+G44+G45+G46</f>
        <v>80377.032000000007</v>
      </c>
      <c r="H50" s="133">
        <f>SUM(H29:H37)-H36+H40+H44+H45+H46</f>
        <v>23902.400000000001</v>
      </c>
      <c r="I50" s="133">
        <f>SUM(I29:I37)-I36+I40+I44+I45+I46</f>
        <v>1831010.6959999998</v>
      </c>
      <c r="J50" s="136"/>
      <c r="K50" s="133">
        <f>SUM(K29:K37)-K36+K40+K44+K45+K46</f>
        <v>1399327.88</v>
      </c>
      <c r="M50" s="360">
        <f>SUM(M29:M37)-M36+M40+M44+M45+M46</f>
        <v>1399327.88</v>
      </c>
    </row>
    <row r="51" spans="2:13" ht="16" thickBot="1">
      <c r="B51" s="137" t="s">
        <v>89</v>
      </c>
      <c r="C51" s="139"/>
      <c r="D51" s="138">
        <f>D49+D50</f>
        <v>10773891.503999999</v>
      </c>
      <c r="E51" s="149"/>
      <c r="F51" s="149"/>
      <c r="G51" s="138">
        <f>G49+G50</f>
        <v>582208.902</v>
      </c>
      <c r="H51" s="138">
        <f>H49+H50</f>
        <v>421607.20000000007</v>
      </c>
      <c r="I51" s="138">
        <f>I49+I50</f>
        <v>11777707.605999999</v>
      </c>
      <c r="J51" s="139"/>
      <c r="K51" s="138">
        <f>K49+K50</f>
        <v>8961020.870000001</v>
      </c>
      <c r="M51" s="361">
        <f>M49+M50</f>
        <v>8961020.870000001</v>
      </c>
    </row>
    <row r="52" spans="2:13" ht="16" thickBot="1">
      <c r="M52" s="362"/>
    </row>
    <row r="53" spans="2:13" ht="16" thickBot="1">
      <c r="B53" s="124" t="s">
        <v>79</v>
      </c>
      <c r="C53" s="140"/>
      <c r="D53" s="141">
        <f>K51</f>
        <v>8961020.870000001</v>
      </c>
      <c r="G53" s="384" t="s">
        <v>163</v>
      </c>
      <c r="H53" s="385">
        <v>8961019</v>
      </c>
      <c r="I53" s="198" t="s">
        <v>164</v>
      </c>
      <c r="K53" s="2" t="s">
        <v>99</v>
      </c>
      <c r="M53" s="363">
        <f>M51</f>
        <v>8961020.870000001</v>
      </c>
    </row>
    <row r="54" spans="2:13">
      <c r="B54" s="125" t="s">
        <v>80</v>
      </c>
      <c r="C54" s="142"/>
      <c r="D54" s="143">
        <f>K49</f>
        <v>7561692.9900000021</v>
      </c>
      <c r="G54" s="386" t="s">
        <v>79</v>
      </c>
      <c r="H54" s="387">
        <f>K51</f>
        <v>8961020.870000001</v>
      </c>
      <c r="I54" s="392">
        <f>H53-H54</f>
        <v>-1.8700000010430813</v>
      </c>
      <c r="K54" s="160">
        <f>I51-K51</f>
        <v>2816686.7359999977</v>
      </c>
      <c r="M54" s="364">
        <f>M49</f>
        <v>7561692.9900000021</v>
      </c>
    </row>
    <row r="55" spans="2:13">
      <c r="B55" s="125" t="s">
        <v>81</v>
      </c>
      <c r="C55" s="142"/>
      <c r="D55" s="134">
        <f>K50</f>
        <v>1399327.88</v>
      </c>
      <c r="G55" s="388" t="s">
        <v>80</v>
      </c>
      <c r="H55" s="389">
        <f>K49</f>
        <v>7561692.9900000021</v>
      </c>
      <c r="K55" s="161">
        <f>(K54/I51)</f>
        <v>0.23915407227167651</v>
      </c>
      <c r="M55" s="360">
        <f>M50</f>
        <v>1399327.88</v>
      </c>
    </row>
    <row r="56" spans="2:13" ht="16" thickBot="1">
      <c r="B56" s="126" t="s">
        <v>82</v>
      </c>
      <c r="C56" s="144"/>
      <c r="D56" s="145">
        <f>D55/D53%</f>
        <v>15.615719462106327</v>
      </c>
      <c r="G56" s="388" t="s">
        <v>81</v>
      </c>
      <c r="H56" s="389">
        <f>K50</f>
        <v>1399327.88</v>
      </c>
      <c r="M56" s="365">
        <f>M55/M53%</f>
        <v>15.615719462106327</v>
      </c>
    </row>
    <row r="57" spans="2:13" ht="16" thickBot="1">
      <c r="B57" s="366"/>
      <c r="D57" s="551"/>
      <c r="G57" s="390" t="s">
        <v>82</v>
      </c>
      <c r="H57" s="391">
        <f>H56/H53</f>
        <v>0.1561572272082003</v>
      </c>
    </row>
    <row r="59" spans="2:13">
      <c r="B59" s="162" t="s">
        <v>100</v>
      </c>
      <c r="C59" s="163"/>
      <c r="D59" s="164">
        <f>D51/$I$51</f>
        <v>0.91476982316247868</v>
      </c>
      <c r="E59" s="163"/>
      <c r="F59" s="163"/>
      <c r="G59" s="164">
        <f>G51/$I$51</f>
        <v>4.9433125823517755E-2</v>
      </c>
      <c r="H59" s="164">
        <f>H51/$I$51</f>
        <v>3.5797051014003593E-2</v>
      </c>
      <c r="I59" s="163"/>
      <c r="J59" s="163"/>
      <c r="K59" s="165">
        <f>D59+G59+H59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20"/>
  <sheetViews>
    <sheetView workbookViewId="0">
      <selection activeCell="H4" sqref="H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31</v>
      </c>
      <c r="C3" s="110"/>
      <c r="H3" s="194" t="s">
        <v>160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134567</v>
      </c>
      <c r="E8" s="17"/>
      <c r="F8" s="17"/>
      <c r="G8" s="18">
        <v>2200</v>
      </c>
      <c r="H8" s="19">
        <v>3100</v>
      </c>
      <c r="I8" s="20"/>
      <c r="J8" s="21">
        <f t="shared" ref="J8:J14" si="0">SUM(D8:H8)</f>
        <v>139867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181850</v>
      </c>
      <c r="E10" s="23"/>
      <c r="F10" s="23"/>
      <c r="G10" s="24"/>
      <c r="H10" s="25"/>
      <c r="I10" s="20"/>
      <c r="J10" s="26">
        <f t="shared" si="0"/>
        <v>181850</v>
      </c>
    </row>
    <row r="11" spans="1:10">
      <c r="A11" s="8"/>
      <c r="B11" s="647"/>
      <c r="C11" s="87" t="s">
        <v>13</v>
      </c>
      <c r="D11" s="22">
        <v>20000</v>
      </c>
      <c r="E11" s="23"/>
      <c r="F11" s="23"/>
      <c r="G11" s="24">
        <v>2363</v>
      </c>
      <c r="H11" s="25">
        <v>8900</v>
      </c>
      <c r="I11" s="20"/>
      <c r="J11" s="26">
        <f t="shared" si="0"/>
        <v>31263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201850</v>
      </c>
      <c r="E13" s="23">
        <f>SUM(E10:E12)</f>
        <v>0</v>
      </c>
      <c r="F13" s="23">
        <f>SUM(F10:F12)</f>
        <v>0</v>
      </c>
      <c r="G13" s="23">
        <f>SUM(G10:G12)</f>
        <v>2363</v>
      </c>
      <c r="H13" s="28">
        <f>SUM(H10:H12)</f>
        <v>8900</v>
      </c>
      <c r="I13" s="20"/>
      <c r="J13" s="26">
        <f t="shared" si="0"/>
        <v>213113</v>
      </c>
    </row>
    <row r="14" spans="1:10" ht="31" thickBot="1">
      <c r="A14" s="8"/>
      <c r="B14" s="104" t="s">
        <v>18</v>
      </c>
      <c r="C14" s="105"/>
      <c r="D14" s="31">
        <f>(D13+D8)*60%</f>
        <v>201850.19999999998</v>
      </c>
      <c r="E14" s="30"/>
      <c r="F14" s="30"/>
      <c r="G14" s="31">
        <f>(G13+G8)*60%</f>
        <v>2737.7999999999997</v>
      </c>
      <c r="H14" s="31">
        <f>(H13+H8)*60%</f>
        <v>7200</v>
      </c>
      <c r="I14" s="20"/>
      <c r="J14" s="33">
        <f t="shared" si="0"/>
        <v>211787.99999999997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538267.19999999995</v>
      </c>
      <c r="E16" s="36">
        <f>E8+E9+E13+E14</f>
        <v>0</v>
      </c>
      <c r="F16" s="36">
        <f>F8+F9+F13+F14</f>
        <v>0</v>
      </c>
      <c r="G16" s="36">
        <f>G8+G9+G13+G14</f>
        <v>7300.7999999999993</v>
      </c>
      <c r="H16" s="37">
        <f>H8+H9+H13+H14</f>
        <v>19200</v>
      </c>
      <c r="I16" s="20"/>
      <c r="J16" s="21">
        <f>J8+J9+J13+J14</f>
        <v>564768</v>
      </c>
    </row>
    <row r="17" spans="1:11" ht="31" thickBot="1">
      <c r="A17" s="8"/>
      <c r="B17" s="108" t="s">
        <v>11</v>
      </c>
      <c r="C17" s="109"/>
      <c r="D17" s="38">
        <f>D16*75%</f>
        <v>403700.39999999997</v>
      </c>
      <c r="E17" s="39">
        <f>E16*50%</f>
        <v>0</v>
      </c>
      <c r="F17" s="39">
        <f>F16*100%</f>
        <v>0</v>
      </c>
      <c r="G17" s="39">
        <f>G16*100%</f>
        <v>7300.7999999999993</v>
      </c>
      <c r="H17" s="40">
        <f>H16*100%</f>
        <v>19200</v>
      </c>
      <c r="I17" s="20"/>
      <c r="J17" s="33">
        <f>SUM(D17:H17)</f>
        <v>430201.19999999995</v>
      </c>
      <c r="K17" t="s">
        <v>113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20"/>
  <sheetViews>
    <sheetView workbookViewId="0">
      <selection activeCell="F45" sqref="F45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30</v>
      </c>
      <c r="C3" s="110"/>
      <c r="H3" s="194" t="s">
        <v>106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101593</v>
      </c>
      <c r="E8" s="17"/>
      <c r="F8" s="17"/>
      <c r="G8" s="18">
        <v>6092</v>
      </c>
      <c r="H8" s="19">
        <v>7871</v>
      </c>
      <c r="I8" s="20"/>
      <c r="J8" s="21">
        <f t="shared" ref="J8:J14" si="0">SUM(D8:H8)</f>
        <v>115556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60000</v>
      </c>
      <c r="E10" s="23"/>
      <c r="F10" s="23"/>
      <c r="G10" s="24"/>
      <c r="H10" s="25"/>
      <c r="I10" s="20"/>
      <c r="J10" s="26">
        <f t="shared" si="0"/>
        <v>60000</v>
      </c>
    </row>
    <row r="11" spans="1:10">
      <c r="A11" s="8"/>
      <c r="B11" s="647"/>
      <c r="C11" s="87" t="s">
        <v>13</v>
      </c>
      <c r="D11" s="22">
        <v>3440</v>
      </c>
      <c r="E11" s="23"/>
      <c r="F11" s="23"/>
      <c r="G11" s="24">
        <v>3146</v>
      </c>
      <c r="H11" s="25">
        <v>5329</v>
      </c>
      <c r="I11" s="20"/>
      <c r="J11" s="26">
        <f t="shared" si="0"/>
        <v>11915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63440</v>
      </c>
      <c r="E13" s="23">
        <f>SUM(E10:E12)</f>
        <v>0</v>
      </c>
      <c r="F13" s="23">
        <f>SUM(F10:F12)</f>
        <v>0</v>
      </c>
      <c r="G13" s="23">
        <f>SUM(G10:G12)</f>
        <v>3146</v>
      </c>
      <c r="H13" s="28">
        <f>SUM(H10:H12)</f>
        <v>5329</v>
      </c>
      <c r="I13" s="20"/>
      <c r="J13" s="26">
        <f t="shared" si="0"/>
        <v>71915</v>
      </c>
    </row>
    <row r="14" spans="1:10" ht="31" thickBot="1">
      <c r="A14" s="8"/>
      <c r="B14" s="104" t="s">
        <v>18</v>
      </c>
      <c r="C14" s="105"/>
      <c r="D14" s="29">
        <f>(D13+D8)*60%</f>
        <v>99019.8</v>
      </c>
      <c r="E14" s="30"/>
      <c r="F14" s="30"/>
      <c r="G14" s="29">
        <f>(G13+G8)*60%</f>
        <v>5542.8</v>
      </c>
      <c r="H14" s="29">
        <f>(H13+H8)*60%</f>
        <v>7920</v>
      </c>
      <c r="I14" s="20"/>
      <c r="J14" s="33">
        <f t="shared" si="0"/>
        <v>112482.6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264052.8</v>
      </c>
      <c r="E16" s="36">
        <f>E8+E9+E13+E14</f>
        <v>0</v>
      </c>
      <c r="F16" s="36">
        <f>F8+F9+F13+F14</f>
        <v>0</v>
      </c>
      <c r="G16" s="36">
        <f>G8+G9+G13+G14</f>
        <v>14780.8</v>
      </c>
      <c r="H16" s="37">
        <f>H8+H9+H13+H14</f>
        <v>21120</v>
      </c>
      <c r="I16" s="20"/>
      <c r="J16" s="21">
        <f>J8+J9+J13+J14</f>
        <v>299953.59999999998</v>
      </c>
    </row>
    <row r="17" spans="1:11" ht="31" thickBot="1">
      <c r="A17" s="8"/>
      <c r="B17" s="108" t="s">
        <v>11</v>
      </c>
      <c r="C17" s="109"/>
      <c r="D17" s="38">
        <f>D16*75%</f>
        <v>198039.59999999998</v>
      </c>
      <c r="E17" s="39">
        <f>E16*50%</f>
        <v>0</v>
      </c>
      <c r="F17" s="39">
        <f>F16*100%</f>
        <v>0</v>
      </c>
      <c r="G17" s="39">
        <f>G16*100%</f>
        <v>14780.8</v>
      </c>
      <c r="H17" s="40">
        <f>H16*100%</f>
        <v>21120</v>
      </c>
      <c r="I17" s="20"/>
      <c r="J17" s="33">
        <f>SUM(D17:H17)</f>
        <v>233940.39999999997</v>
      </c>
      <c r="K17" t="s">
        <v>107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</sheetData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31"/>
  <sheetViews>
    <sheetView workbookViewId="0">
      <selection activeCell="G14" sqref="G1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29</v>
      </c>
      <c r="C3" s="110"/>
      <c r="H3" s="193" t="s">
        <v>147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183824</v>
      </c>
      <c r="E8" s="17"/>
      <c r="F8" s="17"/>
      <c r="G8" s="18">
        <v>5701</v>
      </c>
      <c r="H8" s="19"/>
      <c r="I8" s="20"/>
      <c r="J8" s="21">
        <f t="shared" ref="J8:J14" si="0">SUM(D8:H8)</f>
        <v>189525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3000</v>
      </c>
      <c r="E10" s="23"/>
      <c r="F10" s="23"/>
      <c r="G10" s="24"/>
      <c r="H10" s="25"/>
      <c r="I10" s="20"/>
      <c r="J10" s="26">
        <f t="shared" si="0"/>
        <v>3000</v>
      </c>
    </row>
    <row r="11" spans="1:10">
      <c r="A11" s="8"/>
      <c r="B11" s="647"/>
      <c r="C11" s="87" t="s">
        <v>13</v>
      </c>
      <c r="D11" s="22">
        <v>27375</v>
      </c>
      <c r="E11" s="23"/>
      <c r="F11" s="23"/>
      <c r="G11" s="24">
        <v>7150</v>
      </c>
      <c r="H11" s="25"/>
      <c r="I11" s="20"/>
      <c r="J11" s="26">
        <f t="shared" si="0"/>
        <v>34525</v>
      </c>
    </row>
    <row r="12" spans="1:10">
      <c r="A12" s="8"/>
      <c r="B12" s="647"/>
      <c r="C12" s="87" t="s">
        <v>14</v>
      </c>
      <c r="D12" s="22">
        <v>2000</v>
      </c>
      <c r="E12" s="23"/>
      <c r="F12" s="23"/>
      <c r="G12" s="24"/>
      <c r="H12" s="25"/>
      <c r="I12" s="20"/>
      <c r="J12" s="26">
        <f t="shared" si="0"/>
        <v>2000</v>
      </c>
    </row>
    <row r="13" spans="1:10">
      <c r="A13" s="8"/>
      <c r="B13" s="647"/>
      <c r="C13" s="88" t="s">
        <v>15</v>
      </c>
      <c r="D13" s="27">
        <f>SUM(D10:D12)</f>
        <v>32375</v>
      </c>
      <c r="E13" s="23">
        <f>SUM(E10:E12)</f>
        <v>0</v>
      </c>
      <c r="F13" s="23">
        <f>SUM(F10:F12)</f>
        <v>0</v>
      </c>
      <c r="G13" s="23">
        <f>SUM(G10:G12)</f>
        <v>7150</v>
      </c>
      <c r="H13" s="28">
        <f>SUM(H10:H12)</f>
        <v>0</v>
      </c>
      <c r="I13" s="20"/>
      <c r="J13" s="26">
        <f t="shared" si="0"/>
        <v>39525</v>
      </c>
    </row>
    <row r="14" spans="1:10" ht="46" thickBot="1">
      <c r="A14" s="8"/>
      <c r="B14" s="104" t="s">
        <v>18</v>
      </c>
      <c r="C14" s="105" t="s">
        <v>144</v>
      </c>
      <c r="D14" s="29">
        <v>135502</v>
      </c>
      <c r="E14" s="30"/>
      <c r="F14" s="30"/>
      <c r="G14" s="31">
        <v>2502</v>
      </c>
      <c r="H14" s="32"/>
      <c r="I14" s="20"/>
      <c r="J14" s="33">
        <f t="shared" si="0"/>
        <v>138004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351701</v>
      </c>
      <c r="E16" s="36">
        <f>E8+E9+E13+E14</f>
        <v>0</v>
      </c>
      <c r="F16" s="36">
        <f>F8+F9+F13+F14</f>
        <v>0</v>
      </c>
      <c r="G16" s="36">
        <f>G8+G9+G13+G14</f>
        <v>15353</v>
      </c>
      <c r="H16" s="37">
        <f>H8+H9+H13+H14</f>
        <v>0</v>
      </c>
      <c r="I16" s="20"/>
      <c r="J16" s="21">
        <f>J8+J9+J13+J14</f>
        <v>367054</v>
      </c>
    </row>
    <row r="17" spans="1:11" ht="31" thickBot="1">
      <c r="A17" s="8"/>
      <c r="B17" s="108" t="s">
        <v>11</v>
      </c>
      <c r="C17" s="109"/>
      <c r="D17" s="38">
        <f>D16*75%</f>
        <v>263775.75</v>
      </c>
      <c r="E17" s="39">
        <f>E16*50%</f>
        <v>0</v>
      </c>
      <c r="F17" s="39">
        <f>F16*100%</f>
        <v>0</v>
      </c>
      <c r="G17" s="39">
        <f>G16*100%</f>
        <v>15353</v>
      </c>
      <c r="H17" s="40">
        <f>H16*100%</f>
        <v>0</v>
      </c>
      <c r="I17" s="20"/>
      <c r="J17" s="33">
        <f>SUM(D17:H17)</f>
        <v>279128.75</v>
      </c>
      <c r="K17" t="s">
        <v>113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A20" s="372" t="s">
        <v>145</v>
      </c>
      <c r="B20" s="372"/>
      <c r="C20" s="372"/>
      <c r="D20" s="373"/>
      <c r="E20" s="373"/>
      <c r="F20" s="373"/>
      <c r="G20" s="373"/>
      <c r="H20" s="373"/>
      <c r="I20" s="374"/>
      <c r="J20" s="375"/>
    </row>
    <row r="21" spans="1:11">
      <c r="A21" s="372"/>
      <c r="B21" s="372"/>
      <c r="C21" s="372"/>
      <c r="D21" s="376"/>
      <c r="E21" s="376"/>
      <c r="F21" s="376"/>
      <c r="G21" s="376"/>
      <c r="H21" s="376"/>
      <c r="I21" s="377"/>
      <c r="J21" s="372"/>
    </row>
    <row r="22" spans="1:11">
      <c r="A22" s="372"/>
      <c r="B22" s="372"/>
      <c r="C22" s="372"/>
      <c r="D22" s="376"/>
      <c r="E22" s="376"/>
      <c r="F22" s="376"/>
      <c r="G22" s="376"/>
      <c r="H22" s="376"/>
      <c r="I22" s="377"/>
      <c r="J22" s="372"/>
    </row>
    <row r="23" spans="1:11">
      <c r="A23" s="372"/>
      <c r="B23" s="372"/>
      <c r="C23" s="372"/>
      <c r="D23" s="376"/>
      <c r="E23" s="376"/>
      <c r="F23" s="376"/>
      <c r="G23" s="376"/>
      <c r="H23" s="376"/>
      <c r="I23" s="377"/>
      <c r="J23" s="372"/>
    </row>
    <row r="24" spans="1:11">
      <c r="A24" s="372"/>
      <c r="B24" s="372"/>
      <c r="C24" s="372"/>
      <c r="D24" s="376"/>
      <c r="E24" s="376"/>
      <c r="F24" s="376"/>
      <c r="G24" s="376"/>
      <c r="H24" s="376"/>
      <c r="I24" s="377"/>
      <c r="J24" s="372"/>
    </row>
    <row r="25" spans="1:11">
      <c r="A25" s="372"/>
      <c r="B25" s="372"/>
      <c r="C25" s="372"/>
      <c r="D25" s="376"/>
      <c r="E25" s="376"/>
      <c r="F25" s="376"/>
      <c r="G25" s="376"/>
      <c r="H25" s="376"/>
      <c r="I25" s="377"/>
      <c r="J25" s="372"/>
    </row>
    <row r="26" spans="1:11">
      <c r="A26" s="372"/>
      <c r="B26" s="372"/>
      <c r="C26" s="372"/>
      <c r="D26" s="376"/>
      <c r="E26" s="376"/>
      <c r="F26" s="376"/>
      <c r="G26" s="376"/>
      <c r="H26" s="376"/>
      <c r="I26" s="377"/>
      <c r="J26" s="372"/>
    </row>
    <row r="27" spans="1:11">
      <c r="A27" s="372"/>
      <c r="B27" s="372"/>
      <c r="C27" s="372"/>
      <c r="D27" s="376"/>
      <c r="E27" s="376"/>
      <c r="F27" s="376"/>
      <c r="G27" s="376"/>
      <c r="H27" s="376"/>
      <c r="I27" s="377"/>
      <c r="J27" s="372"/>
    </row>
    <row r="28" spans="1:11">
      <c r="A28" s="372"/>
      <c r="B28" s="372"/>
      <c r="C28" s="372"/>
      <c r="D28" s="376"/>
      <c r="E28" s="376"/>
      <c r="F28" s="376"/>
      <c r="G28" s="376"/>
      <c r="H28" s="376"/>
      <c r="I28" s="377"/>
      <c r="J28" s="372"/>
    </row>
    <row r="29" spans="1:11">
      <c r="A29" s="372"/>
      <c r="B29" s="372"/>
      <c r="C29" s="372"/>
      <c r="D29" s="376"/>
      <c r="E29" s="376"/>
      <c r="F29" s="376"/>
      <c r="G29" s="376"/>
      <c r="H29" s="376"/>
      <c r="I29" s="377"/>
      <c r="J29" s="372"/>
    </row>
    <row r="30" spans="1:11">
      <c r="A30" s="372"/>
      <c r="B30" s="372"/>
      <c r="C30" s="372"/>
      <c r="D30" s="376"/>
      <c r="E30" s="376"/>
      <c r="F30" s="376"/>
      <c r="G30" s="376"/>
      <c r="H30" s="376"/>
      <c r="I30" s="377"/>
      <c r="J30" s="372"/>
    </row>
    <row r="31" spans="1:11">
      <c r="A31" s="372"/>
      <c r="B31" s="372"/>
      <c r="C31" s="372"/>
      <c r="D31" s="376"/>
      <c r="E31" s="376"/>
      <c r="F31" s="376"/>
      <c r="G31" s="376"/>
      <c r="H31" s="376"/>
      <c r="I31" s="377"/>
      <c r="J31" s="372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O34"/>
  <sheetViews>
    <sheetView workbookViewId="0">
      <selection activeCell="L10" sqref="L10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5" ht="16">
      <c r="A1" s="1" t="s">
        <v>0</v>
      </c>
    </row>
    <row r="2" spans="1:15" ht="16">
      <c r="A2" s="1" t="s">
        <v>1</v>
      </c>
    </row>
    <row r="3" spans="1:15" ht="16">
      <c r="A3" s="6" t="s">
        <v>23</v>
      </c>
      <c r="B3" s="7" t="s">
        <v>34</v>
      </c>
      <c r="C3" s="110"/>
      <c r="H3" s="449">
        <v>42594</v>
      </c>
    </row>
    <row r="4" spans="1:15">
      <c r="G4" s="5"/>
      <c r="H4" s="4"/>
    </row>
    <row r="5" spans="1:15">
      <c r="A5" s="48" t="s">
        <v>201</v>
      </c>
      <c r="B5" s="8"/>
      <c r="C5" s="8"/>
      <c r="D5" s="9"/>
      <c r="E5" s="9"/>
      <c r="F5" s="9"/>
      <c r="G5" s="9"/>
      <c r="H5" s="9"/>
      <c r="I5" s="15"/>
      <c r="J5" s="8"/>
    </row>
    <row r="6" spans="1:15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5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5">
      <c r="A8" s="8"/>
      <c r="B8" s="101" t="s">
        <v>5</v>
      </c>
      <c r="C8" s="102"/>
      <c r="D8" s="16">
        <v>231311</v>
      </c>
      <c r="E8" s="17"/>
      <c r="F8" s="17"/>
      <c r="G8" s="18">
        <v>2500</v>
      </c>
      <c r="H8" s="19"/>
      <c r="I8" s="20"/>
      <c r="J8" s="21">
        <f t="shared" ref="J8:J14" si="0">SUM(D8:H8)</f>
        <v>233811</v>
      </c>
      <c r="L8" t="s">
        <v>202</v>
      </c>
    </row>
    <row r="9" spans="1:15">
      <c r="A9" s="8"/>
      <c r="B9" s="103" t="s">
        <v>4</v>
      </c>
      <c r="C9" s="86"/>
      <c r="D9" s="22"/>
      <c r="E9" s="23"/>
      <c r="F9" s="23"/>
      <c r="G9" s="24">
        <v>2500</v>
      </c>
      <c r="H9" s="25"/>
      <c r="I9" s="20"/>
      <c r="J9" s="26">
        <f t="shared" si="0"/>
        <v>2500</v>
      </c>
      <c r="L9" s="541">
        <v>28335</v>
      </c>
      <c r="M9" t="s">
        <v>203</v>
      </c>
      <c r="O9" t="s">
        <v>208</v>
      </c>
    </row>
    <row r="10" spans="1:15">
      <c r="A10" s="8"/>
      <c r="B10" s="646" t="s">
        <v>19</v>
      </c>
      <c r="C10" s="87" t="s">
        <v>12</v>
      </c>
      <c r="D10" s="22"/>
      <c r="E10" s="23"/>
      <c r="F10" s="23"/>
      <c r="G10" s="24"/>
      <c r="H10" s="25"/>
      <c r="I10" s="20"/>
      <c r="J10" s="26">
        <f t="shared" si="0"/>
        <v>0</v>
      </c>
      <c r="L10" s="541">
        <v>37780</v>
      </c>
      <c r="O10" t="s">
        <v>209</v>
      </c>
    </row>
    <row r="11" spans="1:15">
      <c r="A11" s="8"/>
      <c r="B11" s="647"/>
      <c r="C11" s="87" t="s">
        <v>13</v>
      </c>
      <c r="D11" s="22">
        <v>5400</v>
      </c>
      <c r="E11" s="23"/>
      <c r="F11" s="23"/>
      <c r="G11" s="24">
        <v>3600</v>
      </c>
      <c r="H11" s="25"/>
      <c r="I11" s="20"/>
      <c r="J11" s="26">
        <f t="shared" si="0"/>
        <v>9000</v>
      </c>
    </row>
    <row r="12" spans="1:15">
      <c r="A12" s="8"/>
      <c r="B12" s="647"/>
      <c r="C12" s="87" t="s">
        <v>14</v>
      </c>
      <c r="D12" s="22">
        <v>1500</v>
      </c>
      <c r="E12" s="23"/>
      <c r="F12" s="23"/>
      <c r="G12" s="24"/>
      <c r="H12" s="25"/>
      <c r="I12" s="20"/>
      <c r="J12" s="26">
        <f t="shared" si="0"/>
        <v>1500</v>
      </c>
    </row>
    <row r="13" spans="1:15">
      <c r="A13" s="8"/>
      <c r="B13" s="647"/>
      <c r="C13" s="88" t="s">
        <v>15</v>
      </c>
      <c r="D13" s="27">
        <f>SUM(D10:D12)</f>
        <v>6900</v>
      </c>
      <c r="E13" s="23">
        <f>SUM(E10:E12)</f>
        <v>0</v>
      </c>
      <c r="F13" s="23">
        <f>SUM(F10:F12)</f>
        <v>0</v>
      </c>
      <c r="G13" s="23">
        <f>SUM(G10:G12)</f>
        <v>3600</v>
      </c>
      <c r="H13" s="28">
        <f>SUM(H10:H12)</f>
        <v>0</v>
      </c>
      <c r="I13" s="20"/>
      <c r="J13" s="26">
        <f t="shared" si="0"/>
        <v>10500</v>
      </c>
    </row>
    <row r="14" spans="1:15" ht="31" thickBot="1">
      <c r="A14" s="8"/>
      <c r="B14" s="104" t="s">
        <v>18</v>
      </c>
      <c r="C14" s="105"/>
      <c r="D14" s="29">
        <f>(D8+D13)*60%</f>
        <v>142926.6</v>
      </c>
      <c r="E14" s="30"/>
      <c r="F14" s="30"/>
      <c r="G14" s="29">
        <f>(G8+G13)*60%</f>
        <v>3660</v>
      </c>
      <c r="H14" s="32"/>
      <c r="I14" s="20"/>
      <c r="J14" s="33">
        <f t="shared" si="0"/>
        <v>146586.6</v>
      </c>
    </row>
    <row r="15" spans="1:15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5">
      <c r="A16" s="8"/>
      <c r="B16" s="106" t="s">
        <v>6</v>
      </c>
      <c r="C16" s="107"/>
      <c r="D16" s="35">
        <f>D8+D9+D13+D14</f>
        <v>381137.6</v>
      </c>
      <c r="E16" s="36">
        <f>E8+E9+E13+E14</f>
        <v>0</v>
      </c>
      <c r="F16" s="36">
        <f>F8+F9+F13+F14</f>
        <v>0</v>
      </c>
      <c r="G16" s="36">
        <f>G8+G9+G13+G14</f>
        <v>12260</v>
      </c>
      <c r="H16" s="37">
        <f>H8+H9+H13+H14</f>
        <v>0</v>
      </c>
      <c r="I16" s="20"/>
      <c r="J16" s="21">
        <f>J8+J9+J13+J14</f>
        <v>393397.6</v>
      </c>
    </row>
    <row r="17" spans="1:12" ht="31" thickBot="1">
      <c r="A17" s="8"/>
      <c r="B17" s="108" t="s">
        <v>11</v>
      </c>
      <c r="C17" s="109"/>
      <c r="D17" s="38">
        <f>D16*75%</f>
        <v>285853.19999999995</v>
      </c>
      <c r="E17" s="39">
        <f>E16*50%</f>
        <v>0</v>
      </c>
      <c r="F17" s="39">
        <f>F16*100%</f>
        <v>0</v>
      </c>
      <c r="G17" s="39">
        <f>G16*100%</f>
        <v>12260</v>
      </c>
      <c r="H17" s="40">
        <f>H16*100%</f>
        <v>0</v>
      </c>
      <c r="I17" s="20"/>
      <c r="J17" s="33">
        <f>SUM(D17:H17)</f>
        <v>298113.19999999995</v>
      </c>
      <c r="K17" s="450">
        <f>J17-J33</f>
        <v>-45336</v>
      </c>
      <c r="L17" s="451" t="s">
        <v>182</v>
      </c>
    </row>
    <row r="18" spans="1:12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D20" s="44"/>
      <c r="E20" s="44"/>
      <c r="F20" s="44"/>
      <c r="G20" s="44"/>
      <c r="H20" s="44"/>
      <c r="I20" s="45"/>
      <c r="J20" s="46"/>
    </row>
    <row r="21" spans="1:12">
      <c r="A21" s="48"/>
      <c r="B21" s="8"/>
      <c r="C21" s="8"/>
      <c r="D21" s="9"/>
      <c r="E21" s="9"/>
      <c r="F21" s="9"/>
      <c r="G21" s="9"/>
      <c r="H21" s="9"/>
      <c r="I21" s="15"/>
      <c r="J21" s="8"/>
    </row>
    <row r="22" spans="1:12" ht="30">
      <c r="A22" s="8"/>
      <c r="B22" s="8"/>
      <c r="C22" s="8"/>
      <c r="D22" s="10" t="s">
        <v>8</v>
      </c>
      <c r="E22" s="10" t="s">
        <v>2</v>
      </c>
      <c r="F22" s="10" t="s">
        <v>3</v>
      </c>
      <c r="G22" s="10" t="s">
        <v>9</v>
      </c>
      <c r="H22" s="10" t="s">
        <v>10</v>
      </c>
      <c r="I22" s="15"/>
      <c r="J22" s="11" t="s">
        <v>7</v>
      </c>
    </row>
    <row r="23" spans="1:12" ht="16" thickBot="1">
      <c r="A23" s="8"/>
      <c r="B23" s="8"/>
      <c r="C23" s="8"/>
      <c r="D23" s="11"/>
      <c r="E23" s="11"/>
      <c r="F23" s="11"/>
      <c r="G23" s="11"/>
      <c r="H23" s="11"/>
      <c r="I23" s="15"/>
      <c r="J23" s="8"/>
    </row>
    <row r="24" spans="1:12">
      <c r="A24" s="8"/>
      <c r="B24" s="101" t="s">
        <v>5</v>
      </c>
      <c r="C24" s="102"/>
      <c r="D24" s="16">
        <v>269091</v>
      </c>
      <c r="E24" s="17"/>
      <c r="F24" s="17"/>
      <c r="G24" s="18">
        <v>2500</v>
      </c>
      <c r="H24" s="19"/>
      <c r="I24" s="20"/>
      <c r="J24" s="21">
        <f t="shared" ref="J24:J30" si="1">SUM(D24:H24)</f>
        <v>271591</v>
      </c>
    </row>
    <row r="25" spans="1:12">
      <c r="A25" s="8"/>
      <c r="B25" s="482" t="s">
        <v>4</v>
      </c>
      <c r="C25" s="86"/>
      <c r="D25" s="22"/>
      <c r="E25" s="23"/>
      <c r="F25" s="23"/>
      <c r="G25" s="24">
        <v>2500</v>
      </c>
      <c r="H25" s="25"/>
      <c r="I25" s="20"/>
      <c r="J25" s="26">
        <f t="shared" si="1"/>
        <v>2500</v>
      </c>
    </row>
    <row r="26" spans="1:12">
      <c r="A26" s="8"/>
      <c r="B26" s="646" t="s">
        <v>19</v>
      </c>
      <c r="C26" s="87" t="s">
        <v>12</v>
      </c>
      <c r="D26" s="22"/>
      <c r="E26" s="23"/>
      <c r="F26" s="23"/>
      <c r="G26" s="24"/>
      <c r="H26" s="25"/>
      <c r="I26" s="20"/>
      <c r="J26" s="26">
        <f t="shared" si="1"/>
        <v>0</v>
      </c>
    </row>
    <row r="27" spans="1:12">
      <c r="A27" s="8"/>
      <c r="B27" s="647"/>
      <c r="C27" s="87" t="s">
        <v>13</v>
      </c>
      <c r="D27" s="22">
        <v>5400</v>
      </c>
      <c r="E27" s="23"/>
      <c r="F27" s="23"/>
      <c r="G27" s="24">
        <v>3600</v>
      </c>
      <c r="H27" s="25"/>
      <c r="I27" s="20"/>
      <c r="J27" s="26">
        <f t="shared" si="1"/>
        <v>9000</v>
      </c>
    </row>
    <row r="28" spans="1:12">
      <c r="A28" s="8"/>
      <c r="B28" s="647"/>
      <c r="C28" s="87" t="s">
        <v>14</v>
      </c>
      <c r="D28" s="22">
        <v>1500</v>
      </c>
      <c r="E28" s="23"/>
      <c r="F28" s="23"/>
      <c r="G28" s="24"/>
      <c r="H28" s="25"/>
      <c r="I28" s="20"/>
      <c r="J28" s="26">
        <f t="shared" si="1"/>
        <v>1500</v>
      </c>
    </row>
    <row r="29" spans="1:12">
      <c r="A29" s="8"/>
      <c r="B29" s="647"/>
      <c r="C29" s="88" t="s">
        <v>15</v>
      </c>
      <c r="D29" s="27">
        <f>SUM(D26:D28)</f>
        <v>6900</v>
      </c>
      <c r="E29" s="23">
        <f>SUM(E26:E28)</f>
        <v>0</v>
      </c>
      <c r="F29" s="23">
        <f>SUM(F26:F28)</f>
        <v>0</v>
      </c>
      <c r="G29" s="23">
        <f>SUM(G26:G28)</f>
        <v>3600</v>
      </c>
      <c r="H29" s="28">
        <f>SUM(H26:H28)</f>
        <v>0</v>
      </c>
      <c r="I29" s="20"/>
      <c r="J29" s="26">
        <f t="shared" si="1"/>
        <v>10500</v>
      </c>
    </row>
    <row r="30" spans="1:12" ht="31" thickBot="1">
      <c r="A30" s="8"/>
      <c r="B30" s="104" t="s">
        <v>18</v>
      </c>
      <c r="C30" s="105"/>
      <c r="D30" s="29">
        <f>(D24+D29)*60%</f>
        <v>165594.6</v>
      </c>
      <c r="E30" s="30"/>
      <c r="F30" s="30"/>
      <c r="G30" s="29">
        <f>(G24+G29)*60%</f>
        <v>3660</v>
      </c>
      <c r="H30" s="32"/>
      <c r="I30" s="20"/>
      <c r="J30" s="33">
        <f t="shared" si="1"/>
        <v>169254.6</v>
      </c>
    </row>
    <row r="31" spans="1:12" ht="16" thickBot="1">
      <c r="A31" s="8"/>
      <c r="B31" s="12"/>
      <c r="C31" s="13"/>
      <c r="D31" s="34"/>
      <c r="E31" s="34"/>
      <c r="F31" s="34"/>
      <c r="G31" s="34"/>
      <c r="H31" s="34"/>
      <c r="I31" s="20"/>
      <c r="J31" s="20"/>
    </row>
    <row r="32" spans="1:12">
      <c r="A32" s="8"/>
      <c r="B32" s="106" t="s">
        <v>6</v>
      </c>
      <c r="C32" s="107"/>
      <c r="D32" s="35">
        <f>D24+D25+D29+D30</f>
        <v>441585.6</v>
      </c>
      <c r="E32" s="36">
        <f>E24+E25+E29+E30</f>
        <v>0</v>
      </c>
      <c r="F32" s="36">
        <f>F24+F25+F29+F30</f>
        <v>0</v>
      </c>
      <c r="G32" s="36">
        <f>G24+G25+G29+G30</f>
        <v>12260</v>
      </c>
      <c r="H32" s="37">
        <f>H24+H25+H29+H30</f>
        <v>0</v>
      </c>
      <c r="I32" s="20"/>
      <c r="J32" s="21">
        <f>J24+J25+J29+J30</f>
        <v>453845.6</v>
      </c>
    </row>
    <row r="33" spans="1:10" ht="31" thickBot="1">
      <c r="A33" s="8"/>
      <c r="B33" s="108" t="s">
        <v>11</v>
      </c>
      <c r="C33" s="109"/>
      <c r="D33" s="38">
        <f>D32*75%</f>
        <v>331189.19999999995</v>
      </c>
      <c r="E33" s="39">
        <f>E32*50%</f>
        <v>0</v>
      </c>
      <c r="F33" s="39">
        <f>F32*100%</f>
        <v>0</v>
      </c>
      <c r="G33" s="39">
        <f>G32*100%</f>
        <v>12260</v>
      </c>
      <c r="H33" s="40">
        <f>H32*100%</f>
        <v>0</v>
      </c>
      <c r="I33" s="20"/>
      <c r="J33" s="33">
        <f>SUM(D33:H33)</f>
        <v>343449.19999999995</v>
      </c>
    </row>
    <row r="34" spans="1:10">
      <c r="A34" s="47" t="s">
        <v>20</v>
      </c>
      <c r="B34" s="47"/>
      <c r="C34" s="8"/>
      <c r="D34" s="41"/>
      <c r="E34" s="41"/>
      <c r="F34" s="41"/>
      <c r="G34" s="41"/>
      <c r="H34" s="41"/>
      <c r="I34" s="42"/>
      <c r="J34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20"/>
  <sheetViews>
    <sheetView workbookViewId="0">
      <selection activeCell="H4" sqref="H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35</v>
      </c>
      <c r="C3" s="110"/>
      <c r="H3" s="194" t="s">
        <v>160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76874</v>
      </c>
      <c r="E8" s="17"/>
      <c r="F8" s="17"/>
      <c r="G8" s="18">
        <v>2368</v>
      </c>
      <c r="H8" s="19">
        <v>13520</v>
      </c>
      <c r="I8" s="20"/>
      <c r="J8" s="21">
        <f t="shared" ref="J8:J14" si="0">SUM(D8:H8)</f>
        <v>92762</v>
      </c>
    </row>
    <row r="9" spans="1:10">
      <c r="A9" s="8"/>
      <c r="B9" s="103" t="s">
        <v>4</v>
      </c>
      <c r="C9" s="86"/>
      <c r="D9" s="22"/>
      <c r="E9" s="23"/>
      <c r="F9" s="23"/>
      <c r="G9" s="24">
        <v>0</v>
      </c>
      <c r="H9" s="25">
        <v>0</v>
      </c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/>
      <c r="E10" s="23"/>
      <c r="F10" s="23"/>
      <c r="G10" s="24"/>
      <c r="H10" s="25">
        <v>4000</v>
      </c>
      <c r="I10" s="20"/>
      <c r="J10" s="26">
        <f t="shared" si="0"/>
        <v>4000</v>
      </c>
    </row>
    <row r="11" spans="1:10">
      <c r="A11" s="8"/>
      <c r="B11" s="647"/>
      <c r="C11" s="87" t="s">
        <v>13</v>
      </c>
      <c r="D11" s="22">
        <v>6500</v>
      </c>
      <c r="E11" s="23"/>
      <c r="F11" s="23"/>
      <c r="G11" s="24">
        <v>4590</v>
      </c>
      <c r="H11" s="25">
        <v>6667</v>
      </c>
      <c r="I11" s="20"/>
      <c r="J11" s="26">
        <f t="shared" si="0"/>
        <v>17757</v>
      </c>
    </row>
    <row r="12" spans="1:10">
      <c r="A12" s="8"/>
      <c r="B12" s="647"/>
      <c r="C12" s="87" t="s">
        <v>14</v>
      </c>
      <c r="D12" s="22"/>
      <c r="E12" s="23"/>
      <c r="F12" s="23"/>
      <c r="G12" s="24">
        <v>0</v>
      </c>
      <c r="H12" s="25">
        <v>0</v>
      </c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6500</v>
      </c>
      <c r="E13" s="23">
        <f>SUM(E10:E12)</f>
        <v>0</v>
      </c>
      <c r="F13" s="23">
        <f>SUM(F10:F12)</f>
        <v>0</v>
      </c>
      <c r="G13" s="23">
        <f>SUM(G10:G12)</f>
        <v>4590</v>
      </c>
      <c r="H13" s="28">
        <f>SUM(H10:H12)</f>
        <v>10667</v>
      </c>
      <c r="I13" s="20"/>
      <c r="J13" s="26">
        <f t="shared" si="0"/>
        <v>21757</v>
      </c>
    </row>
    <row r="14" spans="1:10" ht="31" thickBot="1">
      <c r="A14" s="8"/>
      <c r="B14" s="104" t="s">
        <v>18</v>
      </c>
      <c r="C14" s="105"/>
      <c r="D14" s="29">
        <f>(D13+D8)*20%</f>
        <v>16674.8</v>
      </c>
      <c r="E14" s="30"/>
      <c r="F14" s="30"/>
      <c r="G14" s="29">
        <f>(G13+G8)*20%</f>
        <v>1391.6000000000001</v>
      </c>
      <c r="H14" s="29">
        <f>(H13+H8)*20%</f>
        <v>4837.4000000000005</v>
      </c>
      <c r="I14" s="20"/>
      <c r="J14" s="33">
        <f t="shared" si="0"/>
        <v>22903.8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100048.8</v>
      </c>
      <c r="E16" s="36">
        <f>E8+E9+E13+E14</f>
        <v>0</v>
      </c>
      <c r="F16" s="36">
        <f>F8+F9+F13+F14</f>
        <v>0</v>
      </c>
      <c r="G16" s="36">
        <f>G8+G9+G13+G14</f>
        <v>8349.6</v>
      </c>
      <c r="H16" s="37">
        <f>H8+H9+H13+H14</f>
        <v>29024.400000000001</v>
      </c>
      <c r="I16" s="20"/>
      <c r="J16" s="21">
        <f>J8+J9+J13+J14</f>
        <v>137422.79999999999</v>
      </c>
    </row>
    <row r="17" spans="1:11" ht="31" thickBot="1">
      <c r="A17" s="8"/>
      <c r="B17" s="108" t="s">
        <v>11</v>
      </c>
      <c r="C17" s="109"/>
      <c r="D17" s="38">
        <f>D16*50%</f>
        <v>50024.4</v>
      </c>
      <c r="E17" s="39">
        <f>E16*50%</f>
        <v>0</v>
      </c>
      <c r="F17" s="39">
        <f>F16*100%</f>
        <v>0</v>
      </c>
      <c r="G17" s="39">
        <f>G16*100%</f>
        <v>8349.6</v>
      </c>
      <c r="H17" s="40">
        <f>H16*100%</f>
        <v>29024.400000000001</v>
      </c>
      <c r="I17" s="20"/>
      <c r="J17" s="33">
        <f>SUM(D17:H17)</f>
        <v>87398.399999999994</v>
      </c>
      <c r="K17" t="s">
        <v>108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L35"/>
  <sheetViews>
    <sheetView workbookViewId="0">
      <selection activeCell="K16" sqref="K16:K17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2" ht="16">
      <c r="A1" s="1" t="s">
        <v>0</v>
      </c>
    </row>
    <row r="2" spans="1:12" ht="16">
      <c r="A2" s="1" t="s">
        <v>1</v>
      </c>
    </row>
    <row r="3" spans="1:12" ht="16">
      <c r="A3" s="6" t="s">
        <v>23</v>
      </c>
      <c r="B3" s="7" t="s">
        <v>36</v>
      </c>
      <c r="C3" s="110"/>
      <c r="H3" s="449">
        <v>42059</v>
      </c>
    </row>
    <row r="4" spans="1:12">
      <c r="G4" s="5"/>
      <c r="H4" s="4"/>
    </row>
    <row r="5" spans="1:12">
      <c r="A5" s="226" t="s">
        <v>186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2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2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</row>
    <row r="8" spans="1:12">
      <c r="A8" s="227"/>
      <c r="B8" s="454" t="s">
        <v>5</v>
      </c>
      <c r="C8" s="455"/>
      <c r="D8" s="234">
        <v>79765</v>
      </c>
      <c r="E8" s="235"/>
      <c r="F8" s="235"/>
      <c r="G8" s="236">
        <v>1870</v>
      </c>
      <c r="H8" s="237">
        <v>3570</v>
      </c>
      <c r="I8" s="238"/>
      <c r="J8" s="239">
        <f t="shared" ref="J8:J14" si="0">SUM(D8:H8)</f>
        <v>85205</v>
      </c>
    </row>
    <row r="9" spans="1:12">
      <c r="A9" s="227"/>
      <c r="B9" s="456" t="s">
        <v>4</v>
      </c>
      <c r="C9" s="457"/>
      <c r="D9" s="242"/>
      <c r="E9" s="243"/>
      <c r="F9" s="243"/>
      <c r="G9" s="244"/>
      <c r="H9" s="245"/>
      <c r="I9" s="238"/>
      <c r="J9" s="246">
        <f t="shared" si="0"/>
        <v>0</v>
      </c>
    </row>
    <row r="10" spans="1:12">
      <c r="A10" s="227"/>
      <c r="B10" s="644" t="s">
        <v>19</v>
      </c>
      <c r="C10" s="458" t="s">
        <v>12</v>
      </c>
      <c r="D10" s="242">
        <v>41000</v>
      </c>
      <c r="E10" s="243"/>
      <c r="F10" s="243"/>
      <c r="G10" s="244"/>
      <c r="H10" s="245"/>
      <c r="I10" s="238"/>
      <c r="J10" s="246">
        <f t="shared" si="0"/>
        <v>41000</v>
      </c>
    </row>
    <row r="11" spans="1:12">
      <c r="A11" s="227"/>
      <c r="B11" s="645"/>
      <c r="C11" s="458" t="s">
        <v>13</v>
      </c>
      <c r="D11" s="242">
        <f>D28+K11</f>
        <v>10550</v>
      </c>
      <c r="E11" s="243"/>
      <c r="F11" s="243"/>
      <c r="G11" s="244">
        <v>5317</v>
      </c>
      <c r="H11" s="245">
        <v>8500</v>
      </c>
      <c r="I11" s="238"/>
      <c r="J11" s="246">
        <f t="shared" si="0"/>
        <v>24367</v>
      </c>
      <c r="K11">
        <v>5000</v>
      </c>
      <c r="L11" t="s">
        <v>187</v>
      </c>
    </row>
    <row r="12" spans="1:12">
      <c r="A12" s="227"/>
      <c r="B12" s="645"/>
      <c r="C12" s="458" t="s">
        <v>14</v>
      </c>
      <c r="D12" s="242"/>
      <c r="E12" s="243"/>
      <c r="F12" s="243"/>
      <c r="G12" s="244"/>
      <c r="H12" s="245"/>
      <c r="I12" s="238"/>
      <c r="J12" s="246">
        <f t="shared" si="0"/>
        <v>0</v>
      </c>
    </row>
    <row r="13" spans="1:12">
      <c r="A13" s="227"/>
      <c r="B13" s="645"/>
      <c r="C13" s="459" t="s">
        <v>15</v>
      </c>
      <c r="D13" s="249">
        <f>SUM(D10:D12)</f>
        <v>51550</v>
      </c>
      <c r="E13" s="243">
        <f>SUM(E10:E12)</f>
        <v>0</v>
      </c>
      <c r="F13" s="243">
        <f>SUM(F10:F12)</f>
        <v>0</v>
      </c>
      <c r="G13" s="243">
        <f>SUM(G10:G12)</f>
        <v>5317</v>
      </c>
      <c r="H13" s="250">
        <f>SUM(H10:H12)</f>
        <v>8500</v>
      </c>
      <c r="I13" s="238"/>
      <c r="J13" s="246">
        <f t="shared" si="0"/>
        <v>65367</v>
      </c>
    </row>
    <row r="14" spans="1:12" ht="31" thickBot="1">
      <c r="A14" s="227"/>
      <c r="B14" s="460" t="s">
        <v>18</v>
      </c>
      <c r="C14" s="461"/>
      <c r="D14" s="462">
        <f>(D8+D13)*60%</f>
        <v>78789</v>
      </c>
      <c r="E14" s="254"/>
      <c r="F14" s="254"/>
      <c r="G14" s="462">
        <f>(G8+G13)*60%</f>
        <v>4312.2</v>
      </c>
      <c r="H14" s="462">
        <f>(H8+H13)*60%</f>
        <v>7242</v>
      </c>
      <c r="I14" s="238"/>
      <c r="J14" s="256">
        <f t="shared" si="0"/>
        <v>90343.2</v>
      </c>
    </row>
    <row r="15" spans="1:12" ht="16" thickBot="1">
      <c r="A15" s="227"/>
      <c r="B15" s="463"/>
      <c r="C15" s="464"/>
      <c r="D15" s="259"/>
      <c r="E15" s="259"/>
      <c r="F15" s="259"/>
      <c r="G15" s="259"/>
      <c r="H15" s="259"/>
      <c r="I15" s="238"/>
      <c r="J15" s="238"/>
    </row>
    <row r="16" spans="1:12">
      <c r="A16" s="227"/>
      <c r="B16" s="465" t="s">
        <v>6</v>
      </c>
      <c r="C16" s="466"/>
      <c r="D16" s="262">
        <f>D8+D9+D13+D14</f>
        <v>210104</v>
      </c>
      <c r="E16" s="263">
        <f>E8+E9+E13+E14</f>
        <v>0</v>
      </c>
      <c r="F16" s="263">
        <f>F8+F9+F13+F14</f>
        <v>0</v>
      </c>
      <c r="G16" s="263">
        <f>G8+G9+G13+G14</f>
        <v>11499.2</v>
      </c>
      <c r="H16" s="264">
        <f>H8+H9+H13+H14</f>
        <v>19312</v>
      </c>
      <c r="I16" s="238"/>
      <c r="J16" s="239">
        <f>J8+J9+J13+J14</f>
        <v>240915.20000000001</v>
      </c>
      <c r="K16" s="446">
        <f>J16-J33</f>
        <v>8000.2000000000116</v>
      </c>
    </row>
    <row r="17" spans="1:12" ht="31" thickBot="1">
      <c r="A17" s="227"/>
      <c r="B17" s="467" t="s">
        <v>11</v>
      </c>
      <c r="C17" s="468"/>
      <c r="D17" s="267">
        <f>D16*75%</f>
        <v>157578</v>
      </c>
      <c r="E17" s="268">
        <f>E16*50%</f>
        <v>0</v>
      </c>
      <c r="F17" s="268">
        <f>F16*100%</f>
        <v>0</v>
      </c>
      <c r="G17" s="268">
        <f>G16*100%</f>
        <v>11499.2</v>
      </c>
      <c r="H17" s="269">
        <f>H16*100%</f>
        <v>19312</v>
      </c>
      <c r="I17" s="238"/>
      <c r="J17" s="256">
        <f>SUM(D17:H17)</f>
        <v>188389.2</v>
      </c>
      <c r="K17" s="446">
        <f>J17-J34</f>
        <v>6000.2000000000116</v>
      </c>
      <c r="L17" t="s">
        <v>182</v>
      </c>
    </row>
    <row r="18" spans="1:12">
      <c r="A18" s="270" t="s">
        <v>20</v>
      </c>
      <c r="B18" s="270"/>
      <c r="C18" s="227"/>
      <c r="D18" s="271"/>
      <c r="E18" s="271"/>
      <c r="F18" s="271"/>
      <c r="G18" s="271"/>
      <c r="H18" s="271"/>
      <c r="I18" s="272"/>
      <c r="J18" s="273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D20" s="44"/>
      <c r="E20" s="44"/>
      <c r="F20" s="44"/>
      <c r="G20" s="44"/>
      <c r="H20" s="44"/>
      <c r="I20" s="45"/>
      <c r="J20" s="46"/>
    </row>
    <row r="22" spans="1:12">
      <c r="A22" s="205" t="s">
        <v>180</v>
      </c>
      <c r="B22" s="206"/>
      <c r="C22" s="206"/>
      <c r="D22" s="207"/>
      <c r="E22" s="207"/>
      <c r="F22" s="207"/>
      <c r="G22" s="207"/>
      <c r="H22" s="207"/>
      <c r="I22" s="206"/>
      <c r="J22" s="206"/>
    </row>
    <row r="23" spans="1:12" ht="30">
      <c r="A23" s="206"/>
      <c r="B23" s="206"/>
      <c r="C23" s="206"/>
      <c r="D23" s="208" t="s">
        <v>8</v>
      </c>
      <c r="E23" s="208" t="s">
        <v>2</v>
      </c>
      <c r="F23" s="208" t="s">
        <v>3</v>
      </c>
      <c r="G23" s="208" t="s">
        <v>9</v>
      </c>
      <c r="H23" s="208" t="s">
        <v>10</v>
      </c>
      <c r="I23" s="206"/>
      <c r="J23" s="209" t="s">
        <v>7</v>
      </c>
    </row>
    <row r="24" spans="1:12" ht="16" thickBot="1">
      <c r="A24" s="206"/>
      <c r="B24" s="206"/>
      <c r="C24" s="206"/>
      <c r="D24" s="209"/>
      <c r="E24" s="209"/>
      <c r="F24" s="209"/>
      <c r="G24" s="209"/>
      <c r="H24" s="209"/>
      <c r="I24" s="206"/>
      <c r="J24" s="206"/>
    </row>
    <row r="25" spans="1:12">
      <c r="A25" s="206"/>
      <c r="B25" s="210" t="s">
        <v>5</v>
      </c>
      <c r="C25" s="221"/>
      <c r="D25" s="419">
        <v>79765</v>
      </c>
      <c r="E25" s="420"/>
      <c r="F25" s="420"/>
      <c r="G25" s="419">
        <v>1870</v>
      </c>
      <c r="H25" s="421">
        <v>3570</v>
      </c>
      <c r="I25" s="422"/>
      <c r="J25" s="423">
        <v>85205</v>
      </c>
    </row>
    <row r="26" spans="1:12">
      <c r="A26" s="206"/>
      <c r="B26" s="418" t="s">
        <v>4</v>
      </c>
      <c r="C26" s="424"/>
      <c r="D26" s="425"/>
      <c r="E26" s="426"/>
      <c r="F26" s="426"/>
      <c r="G26" s="425"/>
      <c r="H26" s="427"/>
      <c r="I26" s="422"/>
      <c r="J26" s="428">
        <v>0</v>
      </c>
    </row>
    <row r="27" spans="1:12">
      <c r="A27" s="206"/>
      <c r="B27" s="651" t="s">
        <v>19</v>
      </c>
      <c r="C27" s="429" t="s">
        <v>12</v>
      </c>
      <c r="D27" s="425">
        <v>41000</v>
      </c>
      <c r="E27" s="426"/>
      <c r="F27" s="426"/>
      <c r="G27" s="425"/>
      <c r="H27" s="427"/>
      <c r="I27" s="422"/>
      <c r="J27" s="428">
        <v>41000</v>
      </c>
    </row>
    <row r="28" spans="1:12">
      <c r="A28" s="206"/>
      <c r="B28" s="652"/>
      <c r="C28" s="429" t="s">
        <v>13</v>
      </c>
      <c r="D28" s="425">
        <v>5550</v>
      </c>
      <c r="E28" s="426"/>
      <c r="F28" s="426"/>
      <c r="G28" s="425">
        <v>5317</v>
      </c>
      <c r="H28" s="427">
        <v>8500</v>
      </c>
      <c r="I28" s="422"/>
      <c r="J28" s="428">
        <v>19367</v>
      </c>
    </row>
    <row r="29" spans="1:12">
      <c r="A29" s="206"/>
      <c r="B29" s="652"/>
      <c r="C29" s="429" t="s">
        <v>14</v>
      </c>
      <c r="D29" s="425"/>
      <c r="E29" s="426"/>
      <c r="F29" s="426"/>
      <c r="G29" s="425"/>
      <c r="H29" s="427"/>
      <c r="I29" s="422"/>
      <c r="J29" s="428">
        <v>0</v>
      </c>
    </row>
    <row r="30" spans="1:12">
      <c r="A30" s="206"/>
      <c r="B30" s="653"/>
      <c r="C30" s="430" t="s">
        <v>15</v>
      </c>
      <c r="D30" s="426">
        <v>46550</v>
      </c>
      <c r="E30" s="426">
        <v>0</v>
      </c>
      <c r="F30" s="426">
        <v>0</v>
      </c>
      <c r="G30" s="426">
        <v>5317</v>
      </c>
      <c r="H30" s="431">
        <v>8500</v>
      </c>
      <c r="I30" s="422"/>
      <c r="J30" s="428">
        <v>60367</v>
      </c>
    </row>
    <row r="31" spans="1:12" ht="31" thickBot="1">
      <c r="A31" s="206"/>
      <c r="B31" s="217" t="s">
        <v>18</v>
      </c>
      <c r="C31" s="223"/>
      <c r="D31" s="432">
        <v>75789</v>
      </c>
      <c r="E31" s="433"/>
      <c r="F31" s="433"/>
      <c r="G31" s="434">
        <v>4312</v>
      </c>
      <c r="H31" s="434">
        <v>7242</v>
      </c>
      <c r="I31" s="422"/>
      <c r="J31" s="436">
        <v>87343</v>
      </c>
    </row>
    <row r="32" spans="1:12" ht="16" thickBot="1">
      <c r="A32" s="206"/>
      <c r="B32" s="214"/>
      <c r="C32" s="219"/>
      <c r="D32" s="422"/>
      <c r="E32" s="422"/>
      <c r="F32" s="422"/>
      <c r="G32" s="422"/>
      <c r="H32" s="422"/>
      <c r="I32" s="422"/>
      <c r="J32" s="422"/>
    </row>
    <row r="33" spans="1:10">
      <c r="A33" s="206"/>
      <c r="B33" s="220" t="s">
        <v>6</v>
      </c>
      <c r="C33" s="221"/>
      <c r="D33" s="420">
        <v>202104</v>
      </c>
      <c r="E33" s="420">
        <v>0</v>
      </c>
      <c r="F33" s="420">
        <v>0</v>
      </c>
      <c r="G33" s="420">
        <v>11499</v>
      </c>
      <c r="H33" s="437">
        <v>19312</v>
      </c>
      <c r="I33" s="422"/>
      <c r="J33" s="423">
        <v>232915</v>
      </c>
    </row>
    <row r="34" spans="1:10" ht="31" thickBot="1">
      <c r="A34" s="206"/>
      <c r="B34" s="222" t="s">
        <v>11</v>
      </c>
      <c r="C34" s="223"/>
      <c r="D34" s="433">
        <v>151578</v>
      </c>
      <c r="E34" s="433">
        <v>0</v>
      </c>
      <c r="F34" s="433">
        <v>0</v>
      </c>
      <c r="G34" s="433">
        <v>11499</v>
      </c>
      <c r="H34" s="438">
        <v>19312</v>
      </c>
      <c r="I34" s="422"/>
      <c r="J34" s="436">
        <v>182389</v>
      </c>
    </row>
    <row r="35" spans="1:10">
      <c r="A35" s="224" t="s">
        <v>20</v>
      </c>
      <c r="B35" s="224"/>
      <c r="C35" s="224"/>
      <c r="D35" s="224"/>
      <c r="E35" s="224"/>
      <c r="F35" s="224"/>
      <c r="G35" s="224"/>
      <c r="H35" s="224"/>
      <c r="I35" s="224"/>
      <c r="J35" s="224"/>
    </row>
  </sheetData>
  <mergeCells count="2">
    <mergeCell ref="B10:B13"/>
    <mergeCell ref="B27:B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34"/>
  <sheetViews>
    <sheetView workbookViewId="0">
      <selection activeCell="D11" sqref="D11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1" ht="16">
      <c r="A1" s="1" t="s">
        <v>0</v>
      </c>
    </row>
    <row r="2" spans="1:11" ht="16">
      <c r="A2" s="1" t="s">
        <v>1</v>
      </c>
    </row>
    <row r="3" spans="1:11" ht="16">
      <c r="A3" s="6" t="s">
        <v>23</v>
      </c>
      <c r="B3" s="7" t="s">
        <v>37</v>
      </c>
      <c r="C3" s="110"/>
      <c r="H3" s="449">
        <v>42100</v>
      </c>
    </row>
    <row r="4" spans="1:11">
      <c r="G4" s="5"/>
      <c r="H4" s="4"/>
    </row>
    <row r="5" spans="1:11">
      <c r="A5" s="226" t="s">
        <v>186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1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1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</row>
    <row r="8" spans="1:11">
      <c r="A8" s="227"/>
      <c r="B8" s="454" t="s">
        <v>5</v>
      </c>
      <c r="C8" s="455"/>
      <c r="D8" s="234">
        <v>66953</v>
      </c>
      <c r="E8" s="235"/>
      <c r="F8" s="235"/>
      <c r="G8" s="236">
        <v>2454</v>
      </c>
      <c r="H8" s="237"/>
      <c r="I8" s="238"/>
      <c r="J8" s="239">
        <f t="shared" ref="J8:J14" si="0">SUM(D8:H8)</f>
        <v>69407</v>
      </c>
    </row>
    <row r="9" spans="1:11">
      <c r="A9" s="227"/>
      <c r="B9" s="456" t="s">
        <v>4</v>
      </c>
      <c r="C9" s="457"/>
      <c r="D9" s="242"/>
      <c r="E9" s="243"/>
      <c r="F9" s="243"/>
      <c r="G9" s="244"/>
      <c r="H9" s="245"/>
      <c r="I9" s="238"/>
      <c r="J9" s="246">
        <f t="shared" si="0"/>
        <v>0</v>
      </c>
    </row>
    <row r="10" spans="1:11">
      <c r="A10" s="227"/>
      <c r="B10" s="644" t="s">
        <v>19</v>
      </c>
      <c r="C10" s="458" t="s">
        <v>12</v>
      </c>
      <c r="D10" s="242">
        <v>5000</v>
      </c>
      <c r="E10" s="243"/>
      <c r="F10" s="243"/>
      <c r="G10" s="244"/>
      <c r="H10" s="245"/>
      <c r="I10" s="238"/>
      <c r="J10" s="246">
        <f t="shared" si="0"/>
        <v>5000</v>
      </c>
    </row>
    <row r="11" spans="1:11">
      <c r="A11" s="227"/>
      <c r="B11" s="645"/>
      <c r="C11" s="458" t="s">
        <v>13</v>
      </c>
      <c r="D11" s="242">
        <v>13000</v>
      </c>
      <c r="E11" s="243"/>
      <c r="F11" s="243"/>
      <c r="G11" s="244">
        <v>4000</v>
      </c>
      <c r="H11" s="245"/>
      <c r="I11" s="238"/>
      <c r="J11" s="246">
        <f t="shared" si="0"/>
        <v>17000</v>
      </c>
      <c r="K11" t="s">
        <v>190</v>
      </c>
    </row>
    <row r="12" spans="1:11">
      <c r="A12" s="227"/>
      <c r="B12" s="645"/>
      <c r="C12" s="458" t="s">
        <v>14</v>
      </c>
      <c r="D12" s="242"/>
      <c r="E12" s="243"/>
      <c r="F12" s="243"/>
      <c r="G12" s="244"/>
      <c r="H12" s="245"/>
      <c r="I12" s="238"/>
      <c r="J12" s="246">
        <f t="shared" si="0"/>
        <v>0</v>
      </c>
    </row>
    <row r="13" spans="1:11">
      <c r="A13" s="227"/>
      <c r="B13" s="645"/>
      <c r="C13" s="459" t="s">
        <v>15</v>
      </c>
      <c r="D13" s="249">
        <f>SUM(D10:D12)</f>
        <v>18000</v>
      </c>
      <c r="E13" s="243">
        <f>SUM(E10:E12)</f>
        <v>0</v>
      </c>
      <c r="F13" s="243">
        <f>SUM(F10:F12)</f>
        <v>0</v>
      </c>
      <c r="G13" s="243">
        <f>SUM(G10:G12)</f>
        <v>4000</v>
      </c>
      <c r="H13" s="250">
        <f>SUM(H10:H12)</f>
        <v>0</v>
      </c>
      <c r="I13" s="238"/>
      <c r="J13" s="246">
        <f t="shared" si="0"/>
        <v>22000</v>
      </c>
    </row>
    <row r="14" spans="1:11" ht="31" thickBot="1">
      <c r="A14" s="227"/>
      <c r="B14" s="460" t="s">
        <v>18</v>
      </c>
      <c r="C14" s="461" t="s">
        <v>183</v>
      </c>
      <c r="D14" s="462">
        <v>42180</v>
      </c>
      <c r="E14" s="254"/>
      <c r="F14" s="254"/>
      <c r="G14" s="253">
        <v>1546</v>
      </c>
      <c r="H14" s="255"/>
      <c r="I14" s="238"/>
      <c r="J14" s="256">
        <f t="shared" si="0"/>
        <v>43726</v>
      </c>
    </row>
    <row r="15" spans="1:11" ht="16" thickBot="1">
      <c r="A15" s="227"/>
      <c r="B15" s="463"/>
      <c r="C15" s="464"/>
      <c r="D15" s="259"/>
      <c r="E15" s="259"/>
      <c r="F15" s="259"/>
      <c r="G15" s="259"/>
      <c r="H15" s="259"/>
      <c r="I15" s="238"/>
      <c r="J15" s="238"/>
    </row>
    <row r="16" spans="1:11">
      <c r="A16" s="227"/>
      <c r="B16" s="465" t="s">
        <v>6</v>
      </c>
      <c r="C16" s="466"/>
      <c r="D16" s="262">
        <f>D8+D9+D13+D14</f>
        <v>127133</v>
      </c>
      <c r="E16" s="263">
        <f>E8+E9+E13+E14</f>
        <v>0</v>
      </c>
      <c r="F16" s="263">
        <f>F8+F9+F13+F14</f>
        <v>0</v>
      </c>
      <c r="G16" s="263">
        <f>G8+G9+G13+G14</f>
        <v>8000</v>
      </c>
      <c r="H16" s="264">
        <f>H8+H9+H13+H14</f>
        <v>0</v>
      </c>
      <c r="I16" s="238"/>
      <c r="J16" s="239">
        <f>J8+J9+J13+J14</f>
        <v>135133</v>
      </c>
      <c r="K16" s="446">
        <f>J16-J32</f>
        <v>1000</v>
      </c>
    </row>
    <row r="17" spans="1:11" ht="31" thickBot="1">
      <c r="A17" s="227"/>
      <c r="B17" s="467" t="s">
        <v>11</v>
      </c>
      <c r="C17" s="468"/>
      <c r="D17" s="267">
        <f>D16*75%</f>
        <v>95349.75</v>
      </c>
      <c r="E17" s="268">
        <f>E16*50%</f>
        <v>0</v>
      </c>
      <c r="F17" s="268">
        <f>F16*100%</f>
        <v>0</v>
      </c>
      <c r="G17" s="268">
        <f>G16*100%</f>
        <v>8000</v>
      </c>
      <c r="H17" s="269">
        <f>H16*100%</f>
        <v>0</v>
      </c>
      <c r="I17" s="238"/>
      <c r="J17" s="256">
        <f>SUM(D17:H17)</f>
        <v>103349.75</v>
      </c>
      <c r="K17" s="446">
        <f>J17-J33</f>
        <v>750</v>
      </c>
    </row>
    <row r="18" spans="1:11">
      <c r="A18" s="441" t="s">
        <v>20</v>
      </c>
      <c r="B18" s="441"/>
      <c r="C18" s="440"/>
      <c r="D18" s="442"/>
      <c r="E18" s="442"/>
      <c r="F18" s="442"/>
      <c r="G18" s="442"/>
      <c r="H18" s="442"/>
      <c r="I18" s="443"/>
      <c r="J18" s="444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  <row r="21" spans="1:11">
      <c r="B21" s="8"/>
      <c r="C21" s="8"/>
      <c r="D21" s="9"/>
      <c r="E21" s="9"/>
      <c r="F21" s="9"/>
      <c r="G21" s="9"/>
      <c r="H21" s="9"/>
      <c r="I21" s="15"/>
      <c r="J21" s="8"/>
    </row>
    <row r="22" spans="1:11" ht="30">
      <c r="A22" s="205" t="s">
        <v>180</v>
      </c>
      <c r="B22" s="8"/>
      <c r="C22" s="8"/>
      <c r="D22" s="10" t="s">
        <v>8</v>
      </c>
      <c r="E22" s="10" t="s">
        <v>2</v>
      </c>
      <c r="F22" s="10" t="s">
        <v>3</v>
      </c>
      <c r="G22" s="10" t="s">
        <v>9</v>
      </c>
      <c r="H22" s="10" t="s">
        <v>10</v>
      </c>
      <c r="I22" s="15"/>
      <c r="J22" s="11" t="s">
        <v>7</v>
      </c>
    </row>
    <row r="23" spans="1:11" ht="16" thickBot="1">
      <c r="A23" s="8"/>
      <c r="B23" s="8"/>
      <c r="C23" s="8"/>
      <c r="D23" s="11"/>
      <c r="E23" s="11"/>
      <c r="F23" s="11"/>
      <c r="G23" s="11"/>
      <c r="H23" s="11"/>
      <c r="I23" s="15"/>
      <c r="J23" s="8"/>
    </row>
    <row r="24" spans="1:11">
      <c r="A24" s="8"/>
      <c r="B24" s="101" t="s">
        <v>5</v>
      </c>
      <c r="C24" s="102"/>
      <c r="D24" s="16">
        <v>66953</v>
      </c>
      <c r="E24" s="17"/>
      <c r="F24" s="17"/>
      <c r="G24" s="18">
        <v>2454</v>
      </c>
      <c r="H24" s="19"/>
      <c r="I24" s="20"/>
      <c r="J24" s="21">
        <f t="shared" ref="J24:J30" si="1">SUM(D24:H24)</f>
        <v>69407</v>
      </c>
    </row>
    <row r="25" spans="1:11">
      <c r="A25" s="8"/>
      <c r="B25" s="448" t="s">
        <v>4</v>
      </c>
      <c r="C25" s="86"/>
      <c r="D25" s="22"/>
      <c r="E25" s="23"/>
      <c r="F25" s="23"/>
      <c r="G25" s="24"/>
      <c r="H25" s="25"/>
      <c r="I25" s="20"/>
      <c r="J25" s="26">
        <f t="shared" si="1"/>
        <v>0</v>
      </c>
    </row>
    <row r="26" spans="1:11">
      <c r="A26" s="8"/>
      <c r="B26" s="646" t="s">
        <v>19</v>
      </c>
      <c r="C26" s="87" t="s">
        <v>12</v>
      </c>
      <c r="D26" s="22">
        <v>5000</v>
      </c>
      <c r="E26" s="23"/>
      <c r="F26" s="23"/>
      <c r="G26" s="24"/>
      <c r="H26" s="25"/>
      <c r="I26" s="20"/>
      <c r="J26" s="26">
        <f t="shared" si="1"/>
        <v>5000</v>
      </c>
    </row>
    <row r="27" spans="1:11">
      <c r="A27" s="8"/>
      <c r="B27" s="647"/>
      <c r="C27" s="87" t="s">
        <v>13</v>
      </c>
      <c r="D27" s="22">
        <v>12000</v>
      </c>
      <c r="E27" s="23"/>
      <c r="F27" s="23"/>
      <c r="G27" s="24">
        <v>4000</v>
      </c>
      <c r="H27" s="25"/>
      <c r="I27" s="20"/>
      <c r="J27" s="26">
        <f t="shared" si="1"/>
        <v>16000</v>
      </c>
    </row>
    <row r="28" spans="1:11">
      <c r="A28" s="8"/>
      <c r="B28" s="647"/>
      <c r="C28" s="87" t="s">
        <v>14</v>
      </c>
      <c r="D28" s="22"/>
      <c r="E28" s="23"/>
      <c r="F28" s="23"/>
      <c r="G28" s="24"/>
      <c r="H28" s="25"/>
      <c r="I28" s="20"/>
      <c r="J28" s="26">
        <f t="shared" si="1"/>
        <v>0</v>
      </c>
    </row>
    <row r="29" spans="1:11">
      <c r="A29" s="8"/>
      <c r="B29" s="647"/>
      <c r="C29" s="88" t="s">
        <v>15</v>
      </c>
      <c r="D29" s="27">
        <f>SUM(D26:D28)</f>
        <v>17000</v>
      </c>
      <c r="E29" s="23">
        <f>SUM(E26:E28)</f>
        <v>0</v>
      </c>
      <c r="F29" s="23">
        <f>SUM(F26:F28)</f>
        <v>0</v>
      </c>
      <c r="G29" s="23">
        <f>SUM(G26:G28)</f>
        <v>4000</v>
      </c>
      <c r="H29" s="28">
        <f>SUM(H26:H28)</f>
        <v>0</v>
      </c>
      <c r="I29" s="20"/>
      <c r="J29" s="26">
        <f t="shared" si="1"/>
        <v>21000</v>
      </c>
    </row>
    <row r="30" spans="1:11" ht="31" thickBot="1">
      <c r="A30" s="8"/>
      <c r="B30" s="104" t="s">
        <v>18</v>
      </c>
      <c r="C30" s="105"/>
      <c r="D30" s="29">
        <v>42180</v>
      </c>
      <c r="E30" s="30"/>
      <c r="F30" s="30"/>
      <c r="G30" s="31">
        <v>1546</v>
      </c>
      <c r="H30" s="32"/>
      <c r="I30" s="20"/>
      <c r="J30" s="33">
        <f t="shared" si="1"/>
        <v>43726</v>
      </c>
    </row>
    <row r="31" spans="1:11" ht="16" thickBot="1">
      <c r="A31" s="8"/>
      <c r="B31" s="12"/>
      <c r="C31" s="13"/>
      <c r="D31" s="34"/>
      <c r="E31" s="34"/>
      <c r="F31" s="34"/>
      <c r="G31" s="34"/>
      <c r="H31" s="34"/>
      <c r="I31" s="20"/>
      <c r="J31" s="20"/>
    </row>
    <row r="32" spans="1:11">
      <c r="A32" s="8"/>
      <c r="B32" s="106" t="s">
        <v>6</v>
      </c>
      <c r="C32" s="107"/>
      <c r="D32" s="35">
        <f>D24+D25+D29+D30</f>
        <v>126133</v>
      </c>
      <c r="E32" s="36">
        <f>E24+E25+E29+E30</f>
        <v>0</v>
      </c>
      <c r="F32" s="36">
        <f>F24+F25+F29+F30</f>
        <v>0</v>
      </c>
      <c r="G32" s="36">
        <f>G24+G25+G29+G30</f>
        <v>8000</v>
      </c>
      <c r="H32" s="37">
        <f>H24+H25+H29+H30</f>
        <v>0</v>
      </c>
      <c r="I32" s="20"/>
      <c r="J32" s="21">
        <f>J24+J25+J29+J30</f>
        <v>134133</v>
      </c>
    </row>
    <row r="33" spans="1:10" ht="31" thickBot="1">
      <c r="A33" s="8"/>
      <c r="B33" s="108" t="s">
        <v>11</v>
      </c>
      <c r="C33" s="109"/>
      <c r="D33" s="38">
        <f>D32*75%</f>
        <v>94599.75</v>
      </c>
      <c r="E33" s="39">
        <f>E32*50%</f>
        <v>0</v>
      </c>
      <c r="F33" s="39">
        <f>F32*100%</f>
        <v>0</v>
      </c>
      <c r="G33" s="39">
        <f>G32*100%</f>
        <v>8000</v>
      </c>
      <c r="H33" s="40">
        <f>H32*100%</f>
        <v>0</v>
      </c>
      <c r="I33" s="20"/>
      <c r="J33" s="33">
        <f>SUM(D33:H33)</f>
        <v>102599.75</v>
      </c>
    </row>
    <row r="34" spans="1:10">
      <c r="A34" s="47" t="s">
        <v>20</v>
      </c>
      <c r="B34" s="47"/>
      <c r="C34" s="8"/>
      <c r="D34" s="41"/>
      <c r="E34" s="41"/>
      <c r="F34" s="41"/>
      <c r="G34" s="41"/>
      <c r="H34" s="41"/>
      <c r="I34" s="42"/>
      <c r="J34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L33"/>
  <sheetViews>
    <sheetView workbookViewId="0">
      <selection activeCell="K17" sqref="K17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2" ht="16">
      <c r="A1" s="1" t="s">
        <v>0</v>
      </c>
    </row>
    <row r="2" spans="1:12" ht="16">
      <c r="A2" s="1" t="s">
        <v>1</v>
      </c>
    </row>
    <row r="3" spans="1:12" ht="16">
      <c r="A3" s="6" t="s">
        <v>23</v>
      </c>
      <c r="B3" s="7" t="s">
        <v>38</v>
      </c>
      <c r="C3" s="110"/>
      <c r="H3" s="445">
        <v>42126</v>
      </c>
    </row>
    <row r="4" spans="1:12">
      <c r="G4" s="5"/>
      <c r="H4" s="4"/>
    </row>
    <row r="5" spans="1:12">
      <c r="A5" s="226" t="s">
        <v>186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2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2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</row>
    <row r="8" spans="1:12">
      <c r="A8" s="227"/>
      <c r="B8" s="454" t="s">
        <v>5</v>
      </c>
      <c r="C8" s="455"/>
      <c r="D8" s="234">
        <v>159462</v>
      </c>
      <c r="E8" s="235"/>
      <c r="F8" s="235"/>
      <c r="G8" s="236">
        <v>2000</v>
      </c>
      <c r="H8" s="237"/>
      <c r="I8" s="238"/>
      <c r="J8" s="239">
        <f t="shared" ref="J8:J14" si="0">SUM(D8:H8)</f>
        <v>161462</v>
      </c>
    </row>
    <row r="9" spans="1:12">
      <c r="A9" s="227"/>
      <c r="B9" s="456" t="s">
        <v>4</v>
      </c>
      <c r="C9" s="457"/>
      <c r="D9" s="242"/>
      <c r="E9" s="243"/>
      <c r="F9" s="243"/>
      <c r="G9" s="244"/>
      <c r="H9" s="245"/>
      <c r="I9" s="238"/>
      <c r="J9" s="246">
        <f t="shared" si="0"/>
        <v>0</v>
      </c>
    </row>
    <row r="10" spans="1:12">
      <c r="A10" s="227"/>
      <c r="B10" s="644" t="s">
        <v>19</v>
      </c>
      <c r="C10" s="458" t="s">
        <v>12</v>
      </c>
      <c r="D10" s="242">
        <v>26518</v>
      </c>
      <c r="E10" s="243"/>
      <c r="F10" s="243"/>
      <c r="G10" s="244"/>
      <c r="H10" s="245"/>
      <c r="I10" s="238"/>
      <c r="J10" s="246">
        <f t="shared" si="0"/>
        <v>26518</v>
      </c>
    </row>
    <row r="11" spans="1:12">
      <c r="A11" s="227"/>
      <c r="B11" s="645"/>
      <c r="C11" s="458" t="s">
        <v>13</v>
      </c>
      <c r="D11" s="242">
        <v>5200</v>
      </c>
      <c r="E11" s="243"/>
      <c r="F11" s="243"/>
      <c r="G11" s="244">
        <v>3065</v>
      </c>
      <c r="H11" s="245"/>
      <c r="I11" s="238"/>
      <c r="J11" s="246">
        <f t="shared" si="0"/>
        <v>8265</v>
      </c>
      <c r="L11" t="s">
        <v>185</v>
      </c>
    </row>
    <row r="12" spans="1:12">
      <c r="A12" s="227"/>
      <c r="B12" s="645"/>
      <c r="C12" s="458" t="s">
        <v>14</v>
      </c>
      <c r="D12" s="242"/>
      <c r="E12" s="243"/>
      <c r="F12" s="243"/>
      <c r="G12" s="244"/>
      <c r="H12" s="245"/>
      <c r="I12" s="238"/>
      <c r="J12" s="246">
        <f t="shared" si="0"/>
        <v>0</v>
      </c>
    </row>
    <row r="13" spans="1:12">
      <c r="A13" s="227"/>
      <c r="B13" s="645"/>
      <c r="C13" s="459" t="s">
        <v>15</v>
      </c>
      <c r="D13" s="249">
        <f>SUM(D10:D12)</f>
        <v>31718</v>
      </c>
      <c r="E13" s="243">
        <f>SUM(E10:E12)</f>
        <v>0</v>
      </c>
      <c r="F13" s="243">
        <f>SUM(F10:F12)</f>
        <v>0</v>
      </c>
      <c r="G13" s="243">
        <f>SUM(G10:G12)</f>
        <v>3065</v>
      </c>
      <c r="H13" s="250">
        <f>SUM(H10:H12)</f>
        <v>0</v>
      </c>
      <c r="I13" s="238"/>
      <c r="J13" s="246">
        <f t="shared" si="0"/>
        <v>34783</v>
      </c>
    </row>
    <row r="14" spans="1:12" ht="31" thickBot="1">
      <c r="A14" s="227"/>
      <c r="B14" s="460" t="s">
        <v>18</v>
      </c>
      <c r="C14" s="461"/>
      <c r="D14" s="462">
        <f>(D8+D13)*60%</f>
        <v>114708</v>
      </c>
      <c r="E14" s="254"/>
      <c r="F14" s="254"/>
      <c r="G14" s="462">
        <f>(G8+G13)*60%</f>
        <v>3039</v>
      </c>
      <c r="H14" s="255"/>
      <c r="I14" s="238"/>
      <c r="J14" s="256">
        <f t="shared" si="0"/>
        <v>117747</v>
      </c>
    </row>
    <row r="15" spans="1:12" ht="16" thickBot="1">
      <c r="A15" s="227"/>
      <c r="B15" s="463"/>
      <c r="C15" s="464"/>
      <c r="D15" s="259"/>
      <c r="E15" s="259"/>
      <c r="F15" s="259"/>
      <c r="G15" s="259"/>
      <c r="H15" s="259"/>
      <c r="I15" s="238"/>
      <c r="J15" s="238"/>
    </row>
    <row r="16" spans="1:12">
      <c r="A16" s="227"/>
      <c r="B16" s="465" t="s">
        <v>6</v>
      </c>
      <c r="C16" s="466"/>
      <c r="D16" s="262">
        <f>D8+D9+D13+D14</f>
        <v>305888</v>
      </c>
      <c r="E16" s="263">
        <f>E8+E9+E13+E14</f>
        <v>0</v>
      </c>
      <c r="F16" s="263">
        <f>F8+F9+F13+F14</f>
        <v>0</v>
      </c>
      <c r="G16" s="263">
        <f>G8+G9+G13+G14</f>
        <v>8104</v>
      </c>
      <c r="H16" s="264">
        <f>H8+H9+H13+H14</f>
        <v>0</v>
      </c>
      <c r="I16" s="238"/>
      <c r="J16" s="239">
        <f>J8+J9+J13+J14</f>
        <v>313992</v>
      </c>
      <c r="K16" s="450">
        <f>J16-J31</f>
        <v>1920</v>
      </c>
      <c r="L16" s="446"/>
    </row>
    <row r="17" spans="1:12" ht="31" thickBot="1">
      <c r="A17" s="227"/>
      <c r="B17" s="467" t="s">
        <v>11</v>
      </c>
      <c r="C17" s="468"/>
      <c r="D17" s="267">
        <f>D16*75%</f>
        <v>229416</v>
      </c>
      <c r="E17" s="268">
        <f>E16*50%</f>
        <v>0</v>
      </c>
      <c r="F17" s="268">
        <f>F16*100%</f>
        <v>0</v>
      </c>
      <c r="G17" s="268">
        <f>G16*100%</f>
        <v>8104</v>
      </c>
      <c r="H17" s="269">
        <f>H16*100%</f>
        <v>0</v>
      </c>
      <c r="I17" s="238"/>
      <c r="J17" s="256">
        <f>SUM(D17:H17)</f>
        <v>237520</v>
      </c>
      <c r="K17" s="450">
        <f>J17-J32</f>
        <v>1440</v>
      </c>
      <c r="L17" s="446"/>
    </row>
    <row r="18" spans="1:12">
      <c r="A18" s="270" t="s">
        <v>20</v>
      </c>
      <c r="B18" s="270"/>
      <c r="C18" s="227"/>
      <c r="D18" s="271"/>
      <c r="E18" s="271"/>
      <c r="F18" s="271"/>
      <c r="G18" s="271"/>
      <c r="H18" s="271"/>
      <c r="I18" s="272"/>
      <c r="J18" s="273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A20" s="48" t="s">
        <v>180</v>
      </c>
      <c r="B20" s="8"/>
      <c r="C20" s="8"/>
      <c r="D20" s="9"/>
      <c r="E20" s="9"/>
      <c r="F20" s="9"/>
      <c r="G20" s="9"/>
      <c r="H20" s="9"/>
      <c r="I20" s="15"/>
      <c r="J20" s="8"/>
    </row>
    <row r="21" spans="1:12" ht="30">
      <c r="A21" s="8"/>
      <c r="B21" s="8"/>
      <c r="C21" s="8"/>
      <c r="D21" s="10" t="s">
        <v>8</v>
      </c>
      <c r="E21" s="10" t="s">
        <v>2</v>
      </c>
      <c r="F21" s="10" t="s">
        <v>3</v>
      </c>
      <c r="G21" s="10" t="s">
        <v>9</v>
      </c>
      <c r="H21" s="10" t="s">
        <v>10</v>
      </c>
      <c r="I21" s="15"/>
      <c r="J21" s="11" t="s">
        <v>7</v>
      </c>
    </row>
    <row r="22" spans="1:12" ht="16" thickBot="1">
      <c r="A22" s="8"/>
      <c r="B22" s="8"/>
      <c r="C22" s="8"/>
      <c r="D22" s="11"/>
      <c r="E22" s="11"/>
      <c r="F22" s="11"/>
      <c r="G22" s="11"/>
      <c r="H22" s="11"/>
      <c r="I22" s="15"/>
      <c r="J22" s="8"/>
    </row>
    <row r="23" spans="1:12">
      <c r="A23" s="8"/>
      <c r="B23" s="101" t="s">
        <v>5</v>
      </c>
      <c r="C23" s="102"/>
      <c r="D23" s="16">
        <v>159462</v>
      </c>
      <c r="E23" s="17"/>
      <c r="F23" s="17"/>
      <c r="G23" s="18">
        <v>2000</v>
      </c>
      <c r="H23" s="19"/>
      <c r="I23" s="20"/>
      <c r="J23" s="21">
        <f t="shared" ref="J23:J29" si="1">SUM(D23:H23)</f>
        <v>161462</v>
      </c>
    </row>
    <row r="24" spans="1:12">
      <c r="A24" s="8"/>
      <c r="B24" s="452" t="s">
        <v>4</v>
      </c>
      <c r="C24" s="86"/>
      <c r="D24" s="22"/>
      <c r="E24" s="23"/>
      <c r="F24" s="23"/>
      <c r="G24" s="24"/>
      <c r="H24" s="25"/>
      <c r="I24" s="20"/>
      <c r="J24" s="26">
        <f t="shared" si="1"/>
        <v>0</v>
      </c>
    </row>
    <row r="25" spans="1:12">
      <c r="A25" s="8"/>
      <c r="B25" s="646" t="s">
        <v>19</v>
      </c>
      <c r="C25" s="87" t="s">
        <v>12</v>
      </c>
      <c r="D25" s="22">
        <v>26518</v>
      </c>
      <c r="E25" s="23"/>
      <c r="F25" s="23"/>
      <c r="G25" s="24"/>
      <c r="H25" s="25"/>
      <c r="I25" s="20"/>
      <c r="J25" s="26">
        <f t="shared" si="1"/>
        <v>26518</v>
      </c>
    </row>
    <row r="26" spans="1:12">
      <c r="A26" s="8"/>
      <c r="B26" s="647"/>
      <c r="C26" s="87" t="s">
        <v>13</v>
      </c>
      <c r="D26" s="22">
        <v>4000</v>
      </c>
      <c r="E26" s="23"/>
      <c r="F26" s="23"/>
      <c r="G26" s="24">
        <v>3065</v>
      </c>
      <c r="H26" s="25"/>
      <c r="I26" s="20"/>
      <c r="J26" s="26">
        <f t="shared" si="1"/>
        <v>7065</v>
      </c>
    </row>
    <row r="27" spans="1:12">
      <c r="A27" s="8"/>
      <c r="B27" s="647"/>
      <c r="C27" s="87" t="s">
        <v>14</v>
      </c>
      <c r="D27" s="22"/>
      <c r="E27" s="23"/>
      <c r="F27" s="23"/>
      <c r="G27" s="24"/>
      <c r="H27" s="25"/>
      <c r="I27" s="20"/>
      <c r="J27" s="26">
        <f t="shared" si="1"/>
        <v>0</v>
      </c>
    </row>
    <row r="28" spans="1:12">
      <c r="A28" s="8"/>
      <c r="B28" s="647"/>
      <c r="C28" s="88" t="s">
        <v>15</v>
      </c>
      <c r="D28" s="27">
        <f>SUM(D25:D27)</f>
        <v>30518</v>
      </c>
      <c r="E28" s="23">
        <f>SUM(E25:E27)</f>
        <v>0</v>
      </c>
      <c r="F28" s="23">
        <f>SUM(F25:F27)</f>
        <v>0</v>
      </c>
      <c r="G28" s="23">
        <f>SUM(G25:G27)</f>
        <v>3065</v>
      </c>
      <c r="H28" s="28">
        <f>SUM(H25:H27)</f>
        <v>0</v>
      </c>
      <c r="I28" s="20"/>
      <c r="J28" s="26">
        <f t="shared" si="1"/>
        <v>33583</v>
      </c>
    </row>
    <row r="29" spans="1:12" ht="31" thickBot="1">
      <c r="A29" s="8"/>
      <c r="B29" s="104" t="s">
        <v>18</v>
      </c>
      <c r="C29" s="105"/>
      <c r="D29" s="29">
        <f>(D23+D28)*60%</f>
        <v>113988</v>
      </c>
      <c r="E29" s="30"/>
      <c r="F29" s="30"/>
      <c r="G29" s="29">
        <f>(G23+G28)*60%</f>
        <v>3039</v>
      </c>
      <c r="H29" s="32"/>
      <c r="I29" s="20"/>
      <c r="J29" s="33">
        <f t="shared" si="1"/>
        <v>117027</v>
      </c>
    </row>
    <row r="30" spans="1:12" ht="16" thickBot="1">
      <c r="A30" s="8"/>
      <c r="B30" s="12"/>
      <c r="C30" s="13"/>
      <c r="D30" s="34"/>
      <c r="E30" s="34"/>
      <c r="F30" s="34"/>
      <c r="G30" s="34"/>
      <c r="H30" s="34"/>
      <c r="I30" s="20"/>
      <c r="J30" s="20"/>
    </row>
    <row r="31" spans="1:12">
      <c r="A31" s="8"/>
      <c r="B31" s="106" t="s">
        <v>6</v>
      </c>
      <c r="C31" s="107"/>
      <c r="D31" s="35">
        <f>D23+D24+D28+D29</f>
        <v>303968</v>
      </c>
      <c r="E31" s="36">
        <f>E23+E24+E28+E29</f>
        <v>0</v>
      </c>
      <c r="F31" s="36">
        <f>F23+F24+F28+F29</f>
        <v>0</v>
      </c>
      <c r="G31" s="36">
        <f>G23+G24+G28+G29</f>
        <v>8104</v>
      </c>
      <c r="H31" s="37">
        <f>H23+H24+H28+H29</f>
        <v>0</v>
      </c>
      <c r="I31" s="20"/>
      <c r="J31" s="21">
        <f>J23+J24+J28+J29</f>
        <v>312072</v>
      </c>
    </row>
    <row r="32" spans="1:12" ht="31" thickBot="1">
      <c r="A32" s="8"/>
      <c r="B32" s="108" t="s">
        <v>11</v>
      </c>
      <c r="C32" s="109"/>
      <c r="D32" s="38">
        <f>D31*75%</f>
        <v>227976</v>
      </c>
      <c r="E32" s="39">
        <f>E31*50%</f>
        <v>0</v>
      </c>
      <c r="F32" s="39">
        <f>F31*100%</f>
        <v>0</v>
      </c>
      <c r="G32" s="39">
        <f>G31*100%</f>
        <v>8104</v>
      </c>
      <c r="H32" s="40">
        <f>H31*100%</f>
        <v>0</v>
      </c>
      <c r="I32" s="20"/>
      <c r="J32" s="33">
        <f>SUM(D32:H32)</f>
        <v>236080</v>
      </c>
    </row>
    <row r="33" spans="1:10">
      <c r="A33" s="47" t="s">
        <v>20</v>
      </c>
      <c r="B33" s="47"/>
      <c r="C33" s="8"/>
      <c r="D33" s="41"/>
      <c r="E33" s="41"/>
      <c r="F33" s="41"/>
      <c r="G33" s="41"/>
      <c r="H33" s="41"/>
      <c r="I33" s="42"/>
      <c r="J33" s="43"/>
    </row>
  </sheetData>
  <mergeCells count="2">
    <mergeCell ref="B10:B13"/>
    <mergeCell ref="B25:B2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20"/>
  <sheetViews>
    <sheetView workbookViewId="0">
      <selection activeCell="L48" sqref="L48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39</v>
      </c>
      <c r="C3" s="110"/>
      <c r="H3" s="193"/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130000</v>
      </c>
      <c r="E8" s="17"/>
      <c r="F8" s="17"/>
      <c r="G8" s="18">
        <v>1230</v>
      </c>
      <c r="H8" s="19"/>
      <c r="I8" s="20"/>
      <c r="J8" s="21">
        <f t="shared" ref="J8:J14" si="0">SUM(D8:H8)</f>
        <v>131230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40840</v>
      </c>
      <c r="E10" s="23"/>
      <c r="F10" s="23"/>
      <c r="G10" s="24"/>
      <c r="H10" s="25"/>
      <c r="I10" s="20"/>
      <c r="J10" s="26">
        <f t="shared" si="0"/>
        <v>40840</v>
      </c>
    </row>
    <row r="11" spans="1:10">
      <c r="A11" s="8"/>
      <c r="B11" s="647"/>
      <c r="C11" s="87" t="s">
        <v>13</v>
      </c>
      <c r="D11" s="22">
        <v>5000</v>
      </c>
      <c r="E11" s="23"/>
      <c r="F11" s="23"/>
      <c r="G11" s="24">
        <v>3900</v>
      </c>
      <c r="H11" s="25"/>
      <c r="I11" s="20"/>
      <c r="J11" s="26">
        <f t="shared" si="0"/>
        <v>8900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45840</v>
      </c>
      <c r="E13" s="23">
        <f>SUM(E10:E12)</f>
        <v>0</v>
      </c>
      <c r="F13" s="23">
        <f>SUM(F10:F12)</f>
        <v>0</v>
      </c>
      <c r="G13" s="23">
        <f>SUM(G10:G12)</f>
        <v>3900</v>
      </c>
      <c r="H13" s="28">
        <f>SUM(H10:H12)</f>
        <v>0</v>
      </c>
      <c r="I13" s="20"/>
      <c r="J13" s="26">
        <f t="shared" si="0"/>
        <v>49740</v>
      </c>
    </row>
    <row r="14" spans="1:10" ht="31" thickBot="1">
      <c r="A14" s="8"/>
      <c r="B14" s="104" t="s">
        <v>18</v>
      </c>
      <c r="C14" s="105"/>
      <c r="D14" s="29">
        <f>(D13+D8)*0.6</f>
        <v>105504</v>
      </c>
      <c r="E14" s="30"/>
      <c r="F14" s="30"/>
      <c r="G14" s="32">
        <f>(G13+G8)*0.6</f>
        <v>3078</v>
      </c>
      <c r="H14" s="32"/>
      <c r="I14" s="20"/>
      <c r="J14" s="33">
        <f t="shared" si="0"/>
        <v>108582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281344</v>
      </c>
      <c r="E16" s="36">
        <f>E8+E9+E13+E14</f>
        <v>0</v>
      </c>
      <c r="F16" s="36">
        <f>F8+F9+F13+F14</f>
        <v>0</v>
      </c>
      <c r="G16" s="36">
        <f>G8+G9+G13+G14</f>
        <v>8208</v>
      </c>
      <c r="H16" s="37">
        <f>H8+H9+H13+H14</f>
        <v>0</v>
      </c>
      <c r="I16" s="20"/>
      <c r="J16" s="21">
        <f>J8+J9+J13+J14</f>
        <v>289552</v>
      </c>
    </row>
    <row r="17" spans="1:10" ht="31" thickBot="1">
      <c r="A17" s="8"/>
      <c r="B17" s="108" t="s">
        <v>11</v>
      </c>
      <c r="C17" s="109"/>
      <c r="D17" s="38">
        <f>D16*75%</f>
        <v>211008</v>
      </c>
      <c r="E17" s="39">
        <f>E16*50%</f>
        <v>0</v>
      </c>
      <c r="F17" s="39">
        <f>F16*100%</f>
        <v>0</v>
      </c>
      <c r="G17" s="39">
        <f>G16*100%</f>
        <v>8208</v>
      </c>
      <c r="H17" s="40">
        <f>H16*100%</f>
        <v>0</v>
      </c>
      <c r="I17" s="20"/>
      <c r="J17" s="33">
        <f>SUM(D17:H17)</f>
        <v>219216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0">
      <c r="D19" s="44"/>
      <c r="E19" s="44"/>
      <c r="F19" s="44"/>
      <c r="G19" s="44"/>
      <c r="H19" s="44"/>
      <c r="I19" s="45"/>
      <c r="J19" s="46"/>
    </row>
    <row r="20" spans="1:10">
      <c r="D20" s="44"/>
      <c r="E20" s="44"/>
      <c r="F20" s="44"/>
      <c r="G20" s="44"/>
      <c r="H20" s="44"/>
      <c r="I20" s="45"/>
      <c r="J20" s="46"/>
    </row>
  </sheetData>
  <mergeCells count="1">
    <mergeCell ref="B10:B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20"/>
  <sheetViews>
    <sheetView workbookViewId="0">
      <selection activeCell="G14" sqref="G1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40</v>
      </c>
      <c r="C3" s="110"/>
      <c r="H3" s="193" t="s">
        <v>150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79600</v>
      </c>
      <c r="E8" s="17"/>
      <c r="F8" s="17"/>
      <c r="G8" s="18">
        <v>2215</v>
      </c>
      <c r="H8" s="19"/>
      <c r="I8" s="20"/>
      <c r="J8" s="21">
        <f t="shared" ref="J8:J14" si="0">SUM(D8:H8)</f>
        <v>81815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28123</v>
      </c>
      <c r="E10" s="23"/>
      <c r="F10" s="23"/>
      <c r="G10" s="24"/>
      <c r="H10" s="25"/>
      <c r="I10" s="20"/>
      <c r="J10" s="26">
        <f t="shared" si="0"/>
        <v>28123</v>
      </c>
    </row>
    <row r="11" spans="1:10">
      <c r="A11" s="8"/>
      <c r="B11" s="647"/>
      <c r="C11" s="87" t="s">
        <v>13</v>
      </c>
      <c r="D11" s="22">
        <v>3660</v>
      </c>
      <c r="E11" s="23"/>
      <c r="F11" s="23"/>
      <c r="G11" s="24">
        <v>4400</v>
      </c>
      <c r="H11" s="25"/>
      <c r="I11" s="20"/>
      <c r="J11" s="26">
        <f t="shared" si="0"/>
        <v>8060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31783</v>
      </c>
      <c r="E13" s="23">
        <f>SUM(E10:E12)</f>
        <v>0</v>
      </c>
      <c r="F13" s="23">
        <f>SUM(F10:F12)</f>
        <v>0</v>
      </c>
      <c r="G13" s="23">
        <f>SUM(G10:G12)</f>
        <v>4400</v>
      </c>
      <c r="H13" s="28">
        <f>SUM(H10:H12)</f>
        <v>0</v>
      </c>
      <c r="I13" s="20"/>
      <c r="J13" s="26">
        <f t="shared" si="0"/>
        <v>36183</v>
      </c>
    </row>
    <row r="14" spans="1:10" ht="31" thickBot="1">
      <c r="A14" s="8"/>
      <c r="B14" s="104" t="s">
        <v>18</v>
      </c>
      <c r="C14" s="105"/>
      <c r="D14" s="29">
        <v>80650</v>
      </c>
      <c r="E14" s="30"/>
      <c r="F14" s="30"/>
      <c r="G14" s="31">
        <v>1785</v>
      </c>
      <c r="H14" s="32"/>
      <c r="I14" s="20"/>
      <c r="J14" s="33">
        <f t="shared" si="0"/>
        <v>82435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192033</v>
      </c>
      <c r="E16" s="36">
        <f>E8+E9+E13+E14</f>
        <v>0</v>
      </c>
      <c r="F16" s="36">
        <f>F8+F9+F13+F14</f>
        <v>0</v>
      </c>
      <c r="G16" s="36">
        <f>G8+G9+G13+G14</f>
        <v>8400</v>
      </c>
      <c r="H16" s="37">
        <f>H8+H9+H13+H14</f>
        <v>0</v>
      </c>
      <c r="I16" s="20"/>
      <c r="J16" s="21">
        <f>J8+J9+J13+J14</f>
        <v>200433</v>
      </c>
    </row>
    <row r="17" spans="1:11" ht="31" thickBot="1">
      <c r="A17" s="8"/>
      <c r="B17" s="108" t="s">
        <v>11</v>
      </c>
      <c r="C17" s="109"/>
      <c r="D17" s="38">
        <f>D16*75%</f>
        <v>144024.75</v>
      </c>
      <c r="E17" s="39">
        <f>E16*50%</f>
        <v>0</v>
      </c>
      <c r="F17" s="39">
        <f>F16*100%</f>
        <v>0</v>
      </c>
      <c r="G17" s="39">
        <f>G16*100%</f>
        <v>8400</v>
      </c>
      <c r="H17" s="40">
        <f>H16*100%</f>
        <v>0</v>
      </c>
      <c r="I17" s="20"/>
      <c r="J17" s="33">
        <f>SUM(D17:H17)</f>
        <v>152424.75</v>
      </c>
      <c r="K17" t="s">
        <v>113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A1:P45"/>
  <sheetViews>
    <sheetView topLeftCell="A6" workbookViewId="0">
      <selection activeCell="L25" sqref="L25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16.33203125" style="3" customWidth="1"/>
    <col min="5" max="5" width="15.33203125" style="3" customWidth="1"/>
    <col min="6" max="7" width="12.83203125" style="3" customWidth="1"/>
    <col min="8" max="8" width="17.83203125" style="3" customWidth="1"/>
    <col min="9" max="9" width="2.5" style="14" customWidth="1"/>
    <col min="10" max="10" width="13.1640625" style="2" customWidth="1"/>
    <col min="11" max="11" width="12" style="2" customWidth="1"/>
    <col min="12" max="12" width="20" style="2" customWidth="1"/>
    <col min="13" max="13" width="10.83203125" style="2"/>
    <col min="14" max="14" width="5.5" style="2" customWidth="1"/>
    <col min="15" max="15" width="14.83203125" style="2" customWidth="1"/>
    <col min="16" max="16384" width="10.83203125" style="2"/>
  </cols>
  <sheetData>
    <row r="1" spans="1:16" ht="16">
      <c r="A1" s="1" t="s">
        <v>0</v>
      </c>
    </row>
    <row r="2" spans="1:16" ht="16">
      <c r="A2" s="1" t="s">
        <v>1</v>
      </c>
    </row>
    <row r="3" spans="1:16" ht="16">
      <c r="A3" s="6" t="s">
        <v>22</v>
      </c>
      <c r="B3" s="439" t="s">
        <v>181</v>
      </c>
      <c r="C3" s="110"/>
    </row>
    <row r="4" spans="1:16">
      <c r="G4" s="5"/>
      <c r="H4" s="4"/>
    </row>
    <row r="5" spans="1:16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6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  <c r="K6" s="3" t="s">
        <v>52</v>
      </c>
    </row>
    <row r="7" spans="1:16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6" ht="16" thickBot="1">
      <c r="A8" s="8"/>
      <c r="B8" s="106" t="s">
        <v>5</v>
      </c>
      <c r="C8" s="326"/>
      <c r="D8" s="18">
        <f>'1.HCMR'!D8+'2.FCPCT'!D8+'3.IRTA'!D8+'4.IOLR'!D8+'5.UNIABD'!D8+'6.DLO'!D8+'7.IMR'!D8+'8.IEO'!D8+'9.UL'!D8+'10.TUe'!D8+'11.AU'!D8+'12. APROMAR'!D8+'13.UNIBA'!D8+'14.IFREMER'!D8+'15.ULL'!D8+'16.FUNDP'!D8+'17.NIFES'!D8+'18.CTAQUA'!D8+'19.CMRM'!D8+'20.SARC'!D8+'21.DTU'!D8+'22.SWH'!D8+'23.ARGO'!D8+'24.ITICAL'!D8+'25.DOR'!D8+'26.GEI'!D8+'27.FORKYS'!D8+'28.CANEXMAR'!D8+'29.ASIALOR'!D8+'30.CULMAREX'!D8+'31.IRIDA'!D8+'32. MC2'!D8+'33. FGM'!D8+'34. BVFi'!D8+'35. MASZ'!D8+'36. ANFACO'!D8+'37. EUFIC'!D8+'38. HRH'!D8+'39. Fish 2 BE'!D8+'40. GMF'!D8</f>
        <v>4296552.68</v>
      </c>
      <c r="E8" s="17"/>
      <c r="F8" s="17"/>
      <c r="G8" s="18">
        <f>'1.HCMR'!G8+'2.FCPCT'!G8+'3.IRTA'!G8+'4.IOLR'!G8+'5.UNIABD'!G8+'6.DLO'!G8+'7.IMR'!G8+'8.IEO'!G8+'9.UL'!G8+'10.TUe'!G8+'11.AU'!G8+'12. APROMAR'!G8+'13.UNIBA'!G8+'14.IFREMER'!G8+'15.ULL'!G8+'16.FUNDP'!G8+'17.NIFES'!G8+'18.CTAQUA'!G8+'19.CMRM'!G8+'20.SARC'!G8+'21.DTU'!G8+'22.SWH'!G8+'23.ARGO'!G8+'24.ITICAL'!G8+'25.DOR'!G8+'26.GEI'!G8+'27.FORKYS'!G8+'28.CANEXMAR'!G8+'29.ASIALOR'!G8+'30.CULMAREX'!G8+'31.IRIDA'!G8+'32. MC2'!G8+'33. FGM'!G8+'34. BVFi'!G8+'35. MASZ'!G8+'36. ANFACO'!G8+'37. EUFIC'!G8+'38. HRH'!G8+'39. Fish 2 BE'!G8+'40. GMF'!G8</f>
        <v>211327.52</v>
      </c>
      <c r="H8" s="18">
        <f>'1.HCMR'!H8+'2.FCPCT'!H8+'3.IRTA'!H8+'4.IOLR'!H8+'5.UNIABD'!H8+'6.DLO'!H8+'7.IMR'!H8+'8.IEO'!H8+'9.UL'!H8+'10.TUe'!H8+'11.AU'!H8+'12. APROMAR'!H8+'13.UNIBA'!H8+'14.IFREMER'!H8+'15.ULL'!H8+'16.FUNDP'!H8+'17.NIFES'!H8+'18.CTAQUA'!H8+'19.CMRM'!H8+'20.SARC'!H8+'21.DTU'!H8+'22.SWH'!H8+'23.ARGO'!H8+'24.ITICAL'!H8+'25.DOR'!H8+'26.GEI'!H8+'27.FORKYS'!H8+'28.CANEXMAR'!H8+'29.ASIALOR'!H8+'30.CULMAREX'!H8+'31.IRIDA'!H8+'32. MC2'!H8+'33. FGM'!H8+'34. BVFi'!H8+'35. MASZ'!H8+'36. ANFACO'!H8+'37. EUFIC'!H8+'38. HRH'!H8+'39. Fish 2 BE'!H8+'40. GMF'!H8</f>
        <v>145546</v>
      </c>
      <c r="I8" s="20"/>
      <c r="J8" s="18">
        <f>'1.HCMR'!J8+'2.FCPCT'!J8+'3.IRTA'!J8+'4.IOLR'!J8+'5.UNIABD'!J8+'6.DLO'!J8+'7.IMR'!J8+'8.IEO'!J8+'9.UL'!J8+'10.TUe'!J8+'11.AU'!J8+'12. APROMAR'!J8+'13.UNIBA'!J8+'14.IFREMER'!J8+'15.ULL'!J8+'16.FUNDP'!J8+'17.NIFES'!J8+'18.CTAQUA'!J8+'19.CMRM'!J8+'20.SARC'!J8+'21.DTU'!J8+'22.SWH'!J8+'23.ARGO'!J8+'24.ITICAL'!J8+'25.DOR'!J8+'26.GEI'!J8+'27.FORKYS'!J8+'28.CANEXMAR'!J8+'29.ASIALOR'!J8+'30.CULMAREX'!J8+'31.IRIDA'!J8+'32. MC2'!J8+'33. FGM'!J8+'34. BVFi'!J8+'35. MASZ'!J8+'36. ANFACO'!J8+'37. EUFIC'!J8+'38. HRH'!J8+'39. Fish 2 BE'!J8+'40. GMF'!J8</f>
        <v>4653426.2</v>
      </c>
      <c r="K8" s="117">
        <f t="shared" ref="K8:K14" si="0">(J8/$J$16)*100</f>
        <v>39.510457855392609</v>
      </c>
      <c r="L8" s="101" t="s">
        <v>94</v>
      </c>
      <c r="M8" s="117">
        <f>K8</f>
        <v>39.510457855392609</v>
      </c>
      <c r="O8" s="101" t="s">
        <v>94</v>
      </c>
      <c r="P8" s="117">
        <f>K8</f>
        <v>39.510457855392609</v>
      </c>
    </row>
    <row r="9" spans="1:16" ht="16" thickBot="1">
      <c r="A9" s="8"/>
      <c r="B9" s="325" t="s">
        <v>4</v>
      </c>
      <c r="C9" s="328"/>
      <c r="D9" s="18">
        <f>'1.HCMR'!D9+'2.FCPCT'!D9+'3.IRTA'!D9+'4.IOLR'!D9+'5.UNIABD'!D9+'6.DLO'!D9+'7.IMR'!D9+'8.IEO'!D9+'9.UL'!D9+'10.TUe'!D9+'11.AU'!D9+'12. APROMAR'!D9+'13.UNIBA'!D9+'14.IFREMER'!D9+'15.ULL'!D9+'16.FUNDP'!D9+'17.NIFES'!D9+'18.CTAQUA'!D9+'19.CMRM'!D9+'20.SARC'!D9+'21.DTU'!D9+'22.SWH'!D9+'23.ARGO'!D9+'24.ITICAL'!D9+'25.DOR'!D9+'26.GEI'!D9+'27.FORKYS'!D9+'28.CANEXMAR'!D9+'29.ASIALOR'!D9+'30.CULMAREX'!D9+'31.IRIDA'!D9+'32. MC2'!D9+'33. FGM'!D9+'34. BVFi'!D9+'35. MASZ'!D9+'36. ANFACO'!D9+'37. EUFIC'!D9+'38. HRH'!D9+'39. Fish 2 BE'!D9+'40. GMF'!D9</f>
        <v>91852</v>
      </c>
      <c r="E9" s="329"/>
      <c r="F9" s="329"/>
      <c r="G9" s="18">
        <f>'1.HCMR'!G9+'2.FCPCT'!G9+'3.IRTA'!G9+'4.IOLR'!G9+'5.UNIABD'!G9+'6.DLO'!G9+'7.IMR'!G9+'8.IEO'!G9+'9.UL'!G9+'10.TUe'!G9+'11.AU'!G9+'12. APROMAR'!G9+'13.UNIBA'!G9+'14.IFREMER'!G9+'15.ULL'!G9+'16.FUNDP'!G9+'17.NIFES'!G9+'18.CTAQUA'!G9+'19.CMRM'!G9+'20.SARC'!G9+'21.DTU'!G9+'22.SWH'!G9+'23.ARGO'!G9+'24.ITICAL'!G9+'25.DOR'!G9+'26.GEI'!G9+'27.FORKYS'!G9+'28.CANEXMAR'!G9+'29.ASIALOR'!G9+'30.CULMAREX'!G9+'31.IRIDA'!G9+'32. MC2'!G9+'33. FGM'!G9+'34. BVFi'!G9+'35. MASZ'!G9+'36. ANFACO'!G9+'37. EUFIC'!G9+'38. HRH'!G9+'39. Fish 2 BE'!G9+'40. GMF'!G9</f>
        <v>18551</v>
      </c>
      <c r="H9" s="18">
        <f>'1.HCMR'!H9+'2.FCPCT'!H9+'3.IRTA'!H9+'4.IOLR'!H9+'5.UNIABD'!H9+'6.DLO'!H9+'7.IMR'!H9+'8.IEO'!H9+'9.UL'!H9+'10.TUe'!H9+'11.AU'!H9+'12. APROMAR'!H9+'13.UNIBA'!H9+'14.IFREMER'!H9+'15.ULL'!H9+'16.FUNDP'!H9+'17.NIFES'!H9+'18.CTAQUA'!H9+'19.CMRM'!H9+'20.SARC'!H9+'21.DTU'!H9+'22.SWH'!H9+'23.ARGO'!H9+'24.ITICAL'!H9+'25.DOR'!H9+'26.GEI'!H9+'27.FORKYS'!H9+'28.CANEXMAR'!H9+'29.ASIALOR'!H9+'30.CULMAREX'!H9+'31.IRIDA'!H9+'32. MC2'!H9+'33. FGM'!H9+'34. BVFi'!H9+'35. MASZ'!H9+'36. ANFACO'!H9+'37. EUFIC'!H9+'38. HRH'!H9+'39. Fish 2 BE'!H9+'40. GMF'!H9</f>
        <v>8700</v>
      </c>
      <c r="I9" s="20"/>
      <c r="J9" s="18">
        <f>'1.HCMR'!J9+'2.FCPCT'!J9+'3.IRTA'!J9+'4.IOLR'!J9+'5.UNIABD'!J9+'6.DLO'!J9+'7.IMR'!J9+'8.IEO'!J9+'9.UL'!J9+'10.TUe'!J9+'11.AU'!J9+'12. APROMAR'!J9+'13.UNIBA'!J9+'14.IFREMER'!J9+'15.ULL'!J9+'16.FUNDP'!J9+'17.NIFES'!J9+'18.CTAQUA'!J9+'19.CMRM'!J9+'20.SARC'!J9+'21.DTU'!J9+'22.SWH'!J9+'23.ARGO'!J9+'24.ITICAL'!J9+'25.DOR'!J9+'26.GEI'!J9+'27.FORKYS'!J9+'28.CANEXMAR'!J9+'29.ASIALOR'!J9+'30.CULMAREX'!J9+'31.IRIDA'!J9+'32. MC2'!J9+'33. FGM'!J9+'34. BVFi'!J9+'35. MASZ'!J9+'36. ANFACO'!J9+'37. EUFIC'!J9+'38. HRH'!J9+'39. Fish 2 BE'!J9+'40. GMF'!J9</f>
        <v>119103</v>
      </c>
      <c r="K9" s="117">
        <f t="shared" si="0"/>
        <v>1.0112579118480114</v>
      </c>
      <c r="L9" s="152" t="s">
        <v>4</v>
      </c>
      <c r="M9" s="117">
        <f t="shared" ref="M9:M14" si="1">K9</f>
        <v>1.0112579118480114</v>
      </c>
      <c r="O9" s="159" t="s">
        <v>4</v>
      </c>
      <c r="P9" s="117">
        <f t="shared" ref="P9" si="2">K9</f>
        <v>1.0112579118480114</v>
      </c>
    </row>
    <row r="10" spans="1:16" ht="16" thickBot="1">
      <c r="A10" s="8"/>
      <c r="B10" s="642" t="s">
        <v>19</v>
      </c>
      <c r="C10" s="334" t="s">
        <v>12</v>
      </c>
      <c r="D10" s="367">
        <f>'1.HCMR'!D10+'2.FCPCT'!D10+'3.IRTA'!D10+'4.IOLR'!D10+'5.UNIABD'!D10+'6.DLO'!D10+'7.IMR'!D10+'8.IEO'!D10+'9.UL'!D10+'10.TUe'!D10+'11.AU'!D10+'12. APROMAR'!D10+'13.UNIBA'!D10+'14.IFREMER'!D10+'15.ULL'!D10+'16.FUNDP'!D10+'17.NIFES'!D10+'18.CTAQUA'!D10+'19.CMRM'!D10+'20.SARC'!D10+'21.DTU'!D10+'22.SWH'!D10+'23.ARGO'!D10+'24.ITICAL'!D10+'25.DOR'!D10+'26.GEI'!D10+'27.FORKYS'!D10+'28.CANEXMAR'!D10+'29.ASIALOR'!D10+'30.CULMAREX'!D10+'31.IRIDA'!D10+'32. MC2'!D10+'33. FGM'!D10+'34. BVFi'!D10+'35. MASZ'!D10+'36. ANFACO'!D10+'37. EUFIC'!D10+'38. HRH'!D10+'39. Fish 2 BE'!D10+'40. GMF'!D10</f>
        <v>2160045.5</v>
      </c>
      <c r="E10" s="368"/>
      <c r="F10" s="368"/>
      <c r="G10" s="367">
        <f>'1.HCMR'!G10+'2.FCPCT'!G10+'3.IRTA'!G10+'4.IOLR'!G10+'5.UNIABD'!G10+'6.DLO'!G10+'7.IMR'!G10+'8.IEO'!G10+'9.UL'!G10+'10.TUe'!G10+'11.AU'!G10+'12. APROMAR'!G10+'13.UNIBA'!G10+'14.IFREMER'!G10+'15.ULL'!G10+'16.FUNDP'!G10+'17.NIFES'!G10+'18.CTAQUA'!G10+'19.CMRM'!G10+'20.SARC'!G10+'21.DTU'!G10+'22.SWH'!G10+'23.ARGO'!G10+'24.ITICAL'!G10+'25.DOR'!G10+'26.GEI'!G10+'27.FORKYS'!G10+'28.CANEXMAR'!G10+'29.ASIALOR'!G10+'30.CULMAREX'!G10+'31.IRIDA'!G10+'32. MC2'!G10+'33. FGM'!G10+'34. BVFi'!G10+'35. MASZ'!G10+'36. ANFACO'!G10+'37. EUFIC'!G10+'38. HRH'!G10+'39. Fish 2 BE'!G10+'40. GMF'!G10</f>
        <v>23829</v>
      </c>
      <c r="H10" s="367">
        <f>'1.HCMR'!H10+'2.FCPCT'!H10+'3.IRTA'!H10+'4.IOLR'!H10+'5.UNIABD'!H10+'6.DLO'!H10+'7.IMR'!H10+'8.IEO'!H10+'9.UL'!H10+'10.TUe'!H10+'11.AU'!H10+'12. APROMAR'!H10+'13.UNIBA'!H10+'14.IFREMER'!H10+'15.ULL'!H10+'16.FUNDP'!H10+'17.NIFES'!H10+'18.CTAQUA'!H10+'19.CMRM'!H10+'20.SARC'!H10+'21.DTU'!H10+'22.SWH'!H10+'23.ARGO'!H10+'24.ITICAL'!H10+'25.DOR'!H10+'26.GEI'!H10+'27.FORKYS'!H10+'28.CANEXMAR'!H10+'29.ASIALOR'!H10+'30.CULMAREX'!H10+'31.IRIDA'!H10+'32. MC2'!H10+'33. FGM'!H10+'34. BVFi'!H10+'35. MASZ'!H10+'36. ANFACO'!H10+'37. EUFIC'!H10+'38. HRH'!H10+'39. Fish 2 BE'!H10+'40. GMF'!H10</f>
        <v>29882</v>
      </c>
      <c r="I10" s="369"/>
      <c r="J10" s="367">
        <f>'1.HCMR'!J10+'2.FCPCT'!J10+'3.IRTA'!J10+'4.IOLR'!J10+'5.UNIABD'!J10+'6.DLO'!J10+'7.IMR'!J10+'8.IEO'!J10+'9.UL'!J10+'10.TUe'!J10+'11.AU'!J10+'12. APROMAR'!J10+'13.UNIBA'!J10+'14.IFREMER'!J10+'15.ULL'!J10+'16.FUNDP'!J10+'17.NIFES'!J10+'18.CTAQUA'!J10+'19.CMRM'!J10+'20.SARC'!J10+'21.DTU'!J10+'22.SWH'!J10+'23.ARGO'!J10+'24.ITICAL'!J10+'25.DOR'!J10+'26.GEI'!J10+'27.FORKYS'!J10+'28.CANEXMAR'!J10+'29.ASIALOR'!J10+'30.CULMAREX'!J10+'31.IRIDA'!J10+'32. MC2'!J10+'33. FGM'!J10+'34. BVFi'!J10+'35. MASZ'!J10+'36. ANFACO'!J10+'37. EUFIC'!J10+'38. HRH'!J10+'39. Fish 2 BE'!J10+'40. GMF'!J10</f>
        <v>2213756.5</v>
      </c>
      <c r="K10" s="117">
        <f t="shared" si="0"/>
        <v>18.796157741870161</v>
      </c>
      <c r="L10" s="113" t="s">
        <v>12</v>
      </c>
      <c r="M10" s="117">
        <f t="shared" si="1"/>
        <v>18.796157741870161</v>
      </c>
      <c r="O10" s="104" t="s">
        <v>93</v>
      </c>
      <c r="P10" s="117">
        <f>K14</f>
        <v>34.011563879878508</v>
      </c>
    </row>
    <row r="11" spans="1:16" ht="16" thickBot="1">
      <c r="A11" s="8"/>
      <c r="B11" s="643"/>
      <c r="C11" s="327" t="s">
        <v>13</v>
      </c>
      <c r="D11" s="367">
        <f>'1.HCMR'!D11+'2.FCPCT'!D11+'3.IRTA'!D11+'4.IOLR'!D11+'5.UNIABD'!D11+'6.DLO'!D11+'7.IMR'!D11+'8.IEO'!D11+'9.UL'!D11+'10.TUe'!D11+'11.AU'!D11+'12. APROMAR'!D11+'13.UNIBA'!D11+'14.IFREMER'!D11+'15.ULL'!D11+'16.FUNDP'!D11+'17.NIFES'!D11+'18.CTAQUA'!D11+'19.CMRM'!D11+'20.SARC'!D11+'21.DTU'!D11+'22.SWH'!D11+'23.ARGO'!D11+'24.ITICAL'!D11+'25.DOR'!D11+'26.GEI'!D11+'27.FORKYS'!D11+'28.CANEXMAR'!D11+'29.ASIALOR'!D11+'30.CULMAREX'!D11+'31.IRIDA'!D11+'32. MC2'!D11+'33. FGM'!D11+'34. BVFi'!D11+'35. MASZ'!D11+'36. ANFACO'!D11+'37. EUFIC'!D11+'38. HRH'!D11+'39. Fish 2 BE'!D11+'40. GMF'!D11</f>
        <v>422404.61</v>
      </c>
      <c r="E11" s="370"/>
      <c r="F11" s="370"/>
      <c r="G11" s="367">
        <f>'1.HCMR'!G11+'2.FCPCT'!G11+'3.IRTA'!G11+'4.IOLR'!G11+'5.UNIABD'!G11+'6.DLO'!G11+'7.IMR'!G11+'8.IEO'!G11+'9.UL'!G11+'10.TUe'!G11+'11.AU'!G11+'12. APROMAR'!G11+'13.UNIBA'!G11+'14.IFREMER'!G11+'15.ULL'!G11+'16.FUNDP'!G11+'17.NIFES'!G11+'18.CTAQUA'!G11+'19.CMRM'!G11+'20.SARC'!G11+'21.DTU'!G11+'22.SWH'!G11+'23.ARGO'!G11+'24.ITICAL'!G11+'25.DOR'!G11+'26.GEI'!G11+'27.FORKYS'!G11+'28.CANEXMAR'!G11+'29.ASIALOR'!G11+'30.CULMAREX'!G11+'31.IRIDA'!G11+'32. MC2'!G11+'33. FGM'!G11+'34. BVFi'!G11+'35. MASZ'!G11+'36. ANFACO'!G11+'37. EUFIC'!G11+'38. HRH'!G11+'39. Fish 2 BE'!G11+'40. GMF'!G11</f>
        <v>128701</v>
      </c>
      <c r="H11" s="367">
        <f>'1.HCMR'!H11+'2.FCPCT'!H11+'3.IRTA'!H11+'4.IOLR'!H11+'5.UNIABD'!H11+'6.DLO'!H11+'7.IMR'!H11+'8.IEO'!H11+'9.UL'!H11+'10.TUe'!H11+'11.AU'!H11+'12. APROMAR'!H11+'13.UNIBA'!H11+'14.IFREMER'!H11+'15.ULL'!H11+'16.FUNDP'!H11+'17.NIFES'!H11+'18.CTAQUA'!H11+'19.CMRM'!H11+'20.SARC'!H11+'21.DTU'!H11+'22.SWH'!H11+'23.ARGO'!H11+'24.ITICAL'!H11+'25.DOR'!H11+'26.GEI'!H11+'27.FORKYS'!H11+'28.CANEXMAR'!H11+'29.ASIALOR'!H11+'30.CULMAREX'!H11+'31.IRIDA'!H11+'32. MC2'!H11+'33. FGM'!H11+'34. BVFi'!H11+'35. MASZ'!H11+'36. ANFACO'!H11+'37. EUFIC'!H11+'38. HRH'!H11+'39. Fish 2 BE'!H11+'40. GMF'!H11</f>
        <v>121038</v>
      </c>
      <c r="I11" s="369"/>
      <c r="J11" s="367">
        <f>'1.HCMR'!J11+'2.FCPCT'!J11+'3.IRTA'!J11+'4.IOLR'!J11+'5.UNIABD'!J11+'6.DLO'!J11+'7.IMR'!J11+'8.IEO'!J11+'9.UL'!J11+'10.TUe'!J11+'11.AU'!J11+'12. APROMAR'!J11+'13.UNIBA'!J11+'14.IFREMER'!J11+'15.ULL'!J11+'16.FUNDP'!J11+'17.NIFES'!J11+'18.CTAQUA'!J11+'19.CMRM'!J11+'20.SARC'!J11+'21.DTU'!J11+'22.SWH'!J11+'23.ARGO'!J11+'24.ITICAL'!J11+'25.DOR'!J11+'26.GEI'!J11+'27.FORKYS'!J11+'28.CANEXMAR'!J11+'29.ASIALOR'!J11+'30.CULMAREX'!J11+'31.IRIDA'!J11+'32. MC2'!J11+'33. FGM'!J11+'34. BVFi'!J11+'35. MASZ'!J11+'36. ANFACO'!J11+'37. EUFIC'!J11+'38. HRH'!J11+'39. Fish 2 BE'!J11+'40. GMF'!J11</f>
        <v>672143.61</v>
      </c>
      <c r="K11" s="117">
        <f t="shared" si="0"/>
        <v>5.7069137092313715</v>
      </c>
      <c r="L11" s="113" t="s">
        <v>13</v>
      </c>
      <c r="M11" s="117">
        <f t="shared" si="1"/>
        <v>5.7069137092313715</v>
      </c>
      <c r="O11" s="113" t="s">
        <v>14</v>
      </c>
      <c r="P11" s="117">
        <f>K12</f>
        <v>0.96364890177933327</v>
      </c>
    </row>
    <row r="12" spans="1:16">
      <c r="A12" s="8"/>
      <c r="B12" s="643"/>
      <c r="C12" s="327" t="s">
        <v>14</v>
      </c>
      <c r="D12" s="367">
        <f>'1.HCMR'!D12+'2.FCPCT'!D12+'3.IRTA'!D12+'4.IOLR'!D12+'5.UNIABD'!D12+'6.DLO'!D12+'7.IMR'!D12+'8.IEO'!D12+'9.UL'!D12+'10.TUe'!D12+'11.AU'!D12+'12. APROMAR'!D12+'13.UNIBA'!D12+'14.IFREMER'!D12+'15.ULL'!D12+'16.FUNDP'!D12+'17.NIFES'!D12+'18.CTAQUA'!D12+'19.CMRM'!D12+'20.SARC'!D12+'21.DTU'!D12+'22.SWH'!D12+'23.ARGO'!D12+'24.ITICAL'!D12+'25.DOR'!D12+'26.GEI'!D12+'27.FORKYS'!D12+'28.CANEXMAR'!D12+'29.ASIALOR'!D12+'30.CULMAREX'!D12+'31.IRIDA'!D12+'32. MC2'!D12+'33. FGM'!D12+'34. BVFi'!D12+'35. MASZ'!D12+'36. ANFACO'!D12+'37. EUFIC'!D12+'38. HRH'!D12+'39. Fish 2 BE'!D12+'40. GMF'!D12</f>
        <v>109495.75</v>
      </c>
      <c r="E12" s="370"/>
      <c r="F12" s="370"/>
      <c r="G12" s="367">
        <f>'1.HCMR'!G12+'2.FCPCT'!G12+'3.IRTA'!G12+'4.IOLR'!G12+'5.UNIABD'!G12+'6.DLO'!G12+'7.IMR'!G12+'8.IEO'!G12+'9.UL'!G12+'10.TUe'!G12+'11.AU'!G12+'12. APROMAR'!G12+'13.UNIBA'!G12+'14.IFREMER'!G12+'15.ULL'!G12+'16.FUNDP'!G12+'17.NIFES'!G12+'18.CTAQUA'!G12+'19.CMRM'!G12+'20.SARC'!G12+'21.DTU'!G12+'22.SWH'!G12+'23.ARGO'!G12+'24.ITICAL'!G12+'25.DOR'!G12+'26.GEI'!G12+'27.FORKYS'!G12+'28.CANEXMAR'!G12+'29.ASIALOR'!G12+'30.CULMAREX'!G12+'31.IRIDA'!G12+'32. MC2'!G12+'33. FGM'!G12+'34. BVFi'!G12+'35. MASZ'!G12+'36. ANFACO'!G12+'37. EUFIC'!G12+'38. HRH'!G12+'39. Fish 2 BE'!G12+'40. GMF'!G12</f>
        <v>4000</v>
      </c>
      <c r="H12" s="367">
        <f>'1.HCMR'!H12+'2.FCPCT'!H12+'3.IRTA'!H12+'4.IOLR'!H12+'5.UNIABD'!H12+'6.DLO'!H12+'7.IMR'!H12+'8.IEO'!H12+'9.UL'!H12+'10.TUe'!H12+'11.AU'!H12+'12. APROMAR'!H12+'13.UNIBA'!H12+'14.IFREMER'!H12+'15.ULL'!H12+'16.FUNDP'!H12+'17.NIFES'!H12+'18.CTAQUA'!H12+'19.CMRM'!H12+'20.SARC'!H12+'21.DTU'!H12+'22.SWH'!H12+'23.ARGO'!H12+'24.ITICAL'!H12+'25.DOR'!H12+'26.GEI'!H12+'27.FORKYS'!H12+'28.CANEXMAR'!H12+'29.ASIALOR'!H12+'30.CULMAREX'!H12+'31.IRIDA'!H12+'32. MC2'!H12+'33. FGM'!H12+'34. BVFi'!H12+'35. MASZ'!H12+'36. ANFACO'!H12+'37. EUFIC'!H12+'38. HRH'!H12+'39. Fish 2 BE'!H12+'40. GMF'!H12</f>
        <v>0</v>
      </c>
      <c r="I12" s="369"/>
      <c r="J12" s="367">
        <f>'1.HCMR'!J12+'2.FCPCT'!J12+'3.IRTA'!J12+'4.IOLR'!J12+'5.UNIABD'!J12+'6.DLO'!J12+'7.IMR'!J12+'8.IEO'!J12+'9.UL'!J12+'10.TUe'!J12+'11.AU'!J12+'12. APROMAR'!J12+'13.UNIBA'!J12+'14.IFREMER'!J12+'15.ULL'!J12+'16.FUNDP'!J12+'17.NIFES'!J12+'18.CTAQUA'!J12+'19.CMRM'!J12+'20.SARC'!J12+'21.DTU'!J12+'22.SWH'!J12+'23.ARGO'!J12+'24.ITICAL'!J12+'25.DOR'!J12+'26.GEI'!J12+'27.FORKYS'!J12+'28.CANEXMAR'!J12+'29.ASIALOR'!J12+'30.CULMAREX'!J12+'31.IRIDA'!J12+'32. MC2'!J12+'33. FGM'!J12+'34. BVFi'!J12+'35. MASZ'!J12+'36. ANFACO'!J12+'37. EUFIC'!J12+'38. HRH'!J12+'39. Fish 2 BE'!J12+'40. GMF'!J12</f>
        <v>113495.75</v>
      </c>
      <c r="K12" s="117">
        <f t="shared" si="0"/>
        <v>0.96364890177933327</v>
      </c>
      <c r="L12" s="113" t="s">
        <v>14</v>
      </c>
      <c r="M12" s="117">
        <f t="shared" si="1"/>
        <v>0.96364890177933327</v>
      </c>
      <c r="O12" s="113" t="s">
        <v>12</v>
      </c>
      <c r="P12" s="117">
        <f>K10</f>
        <v>18.796157741870161</v>
      </c>
    </row>
    <row r="13" spans="1:16" ht="16" thickBot="1">
      <c r="A13" s="8"/>
      <c r="B13" s="643"/>
      <c r="C13" s="335" t="s">
        <v>15</v>
      </c>
      <c r="D13" s="30">
        <f>SUM(D10:D12)</f>
        <v>2691945.86</v>
      </c>
      <c r="E13" s="30">
        <f>SUM(E10:E12)</f>
        <v>0</v>
      </c>
      <c r="F13" s="30">
        <f>SUM(F10:F12)</f>
        <v>0</v>
      </c>
      <c r="G13" s="30">
        <f>SUM(G10:G12)</f>
        <v>156530</v>
      </c>
      <c r="H13" s="336">
        <f>SUM(H10:H12)</f>
        <v>150920</v>
      </c>
      <c r="I13" s="20"/>
      <c r="J13" s="26">
        <f t="shared" ref="J13:J14" si="3">SUM(D13:H13)</f>
        <v>2999395.86</v>
      </c>
      <c r="K13" s="117">
        <f t="shared" si="0"/>
        <v>25.466720352880866</v>
      </c>
      <c r="L13" s="114" t="s">
        <v>15</v>
      </c>
      <c r="M13" s="117"/>
      <c r="O13" s="113" t="s">
        <v>13</v>
      </c>
      <c r="P13" s="117">
        <f>K11</f>
        <v>5.7069137092313715</v>
      </c>
    </row>
    <row r="14" spans="1:16" ht="31" thickBot="1">
      <c r="A14" s="8"/>
      <c r="B14" s="108" t="s">
        <v>18</v>
      </c>
      <c r="C14" s="330"/>
      <c r="D14" s="331">
        <f>'1.HCMR'!D14+'2.FCPCT'!D14+'3.IRTA'!D14+'4.IOLR'!D14+'5.UNIABD'!D14+'6.DLO'!D14+'7.IMR'!D14+'8.IEO'!D14+'9.UL'!D14+'10.TUe'!D14+'11.AU'!D14+'12. APROMAR'!D14+'13.UNIBA'!D14+'14.IFREMER'!D14+'15.ULL'!D14+'16.FUNDP'!D14+'17.NIFES'!D14+'18.CTAQUA'!D14+'19.CMRM'!D14+'20.SARC'!D14+'21.DTU'!D14+'22.SWH'!D14+'23.ARGO'!D14+'24.ITICAL'!D14+'25.DOR'!D14+'26.GEI'!D14+'27.FORKYS'!D14+'28.CANEXMAR'!D14+'29.ASIALOR'!D14+'30.CULMAREX'!D14+'31.IRIDA'!D14+'32. MC2'!D14+'33. FGM'!D14+'34. BVFi'!D14+'35. MASZ'!D14+'36. ANFACO'!D14+'37. EUFIC'!D14+'38. HRH'!D14+'39. Fish 2 BE'!D14+'40. GMF'!D14</f>
        <v>3693540.9639999997</v>
      </c>
      <c r="E14" s="332"/>
      <c r="F14" s="332"/>
      <c r="G14" s="331">
        <f>'1.HCMR'!G14+'2.FCPCT'!G14+'3.IRTA'!G14+'4.IOLR'!G14+'5.UNIABD'!G14+'6.DLO'!G14+'7.IMR'!G14+'8.IEO'!G14+'9.UL'!G14+'10.TUe'!G14+'11.AU'!G14+'12. APROMAR'!G14+'13.UNIBA'!G14+'14.IFREMER'!G14+'15.ULL'!G14+'16.FUNDP'!G14+'17.NIFES'!G14+'18.CTAQUA'!G14+'19.CMRM'!G14+'20.SARC'!G14+'21.DTU'!G14+'22.SWH'!G14+'23.ARGO'!G14+'24.ITICAL'!G14+'25.DOR'!G14+'26.GEI'!G14+'27.FORKYS'!G14+'28.CANEXMAR'!G14+'29.ASIALOR'!G14+'30.CULMAREX'!G14+'31.IRIDA'!G14+'32. MC2'!G14+'33. FGM'!G14+'34. BVFi'!G14+'35. MASZ'!G14+'36. ANFACO'!G14+'37. EUFIC'!G14+'38. HRH'!G14+'39. Fish 2 BE'!G14+'40. GMF'!G14</f>
        <v>195800.38200000001</v>
      </c>
      <c r="H14" s="333">
        <f>'1.HCMR'!H14+'2.FCPCT'!H14+'3.IRTA'!H14+'4.IOLR'!H14+'5.UNIABD'!H14+'6.DLO'!H14+'7.IMR'!H14+'8.IEO'!H14+'9.UL'!H14+'10.TUe'!H14+'11.AU'!H14+'12. APROMAR'!H14+'13.UNIBA'!H14+'14.IFREMER'!H14+'15.ULL'!H14+'16.FUNDP'!H14+'17.NIFES'!H14+'18.CTAQUA'!H14+'19.CMRM'!H14+'20.SARC'!H14+'21.DTU'!H14+'22.SWH'!H14+'23.ARGO'!H14+'24.ITICAL'!H14+'25.DOR'!H14+'26.GEI'!H14+'27.FORKYS'!H14+'28.CANEXMAR'!H14+'29.ASIALOR'!H14+'30.CULMAREX'!H14+'31.IRIDA'!H14+'32. MC2'!H14+'33. FGM'!H14+'34. BVFi'!H14+'35. MASZ'!H14+'36. ANFACO'!H14+'37. EUFIC'!H14+'38. HRH'!H14</f>
        <v>116441.19999999998</v>
      </c>
      <c r="I14" s="20"/>
      <c r="J14" s="33">
        <f t="shared" si="3"/>
        <v>4005782.5460000001</v>
      </c>
      <c r="K14" s="117">
        <f t="shared" si="0"/>
        <v>34.011563879878508</v>
      </c>
      <c r="L14" s="104" t="s">
        <v>93</v>
      </c>
      <c r="M14" s="117">
        <f t="shared" si="1"/>
        <v>34.011563879878508</v>
      </c>
      <c r="O14" s="104"/>
      <c r="P14" s="117"/>
    </row>
    <row r="15" spans="1:16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  <c r="M15" s="117"/>
    </row>
    <row r="16" spans="1:16" ht="27" customHeight="1">
      <c r="A16" s="8"/>
      <c r="B16" s="106" t="s">
        <v>6</v>
      </c>
      <c r="C16" s="337"/>
      <c r="D16" s="35">
        <f>D8+D9+D13+D14</f>
        <v>10773891.503999999</v>
      </c>
      <c r="E16" s="36">
        <f>E8+E9+E13+E14</f>
        <v>0</v>
      </c>
      <c r="F16" s="36">
        <f>F8+F9+F13+F14</f>
        <v>0</v>
      </c>
      <c r="G16" s="36">
        <f>G8+G9+G13+G14</f>
        <v>582208.902</v>
      </c>
      <c r="H16" s="37">
        <f>H8+H9+H13+H14</f>
        <v>421607.19999999995</v>
      </c>
      <c r="I16" s="20"/>
      <c r="J16" s="21">
        <f>J8+J9+J13+J14</f>
        <v>11777707.606000001</v>
      </c>
      <c r="K16" s="117">
        <f>(J16/$J$16)*100</f>
        <v>100</v>
      </c>
      <c r="L16" s="106"/>
      <c r="M16" s="117">
        <f>SUM(M8:M14)</f>
        <v>100</v>
      </c>
      <c r="P16" s="117">
        <f>SUM(P8:P14)</f>
        <v>100</v>
      </c>
    </row>
    <row r="17" spans="1:12" ht="31" thickBot="1">
      <c r="A17" s="8"/>
      <c r="B17" s="108" t="s">
        <v>11</v>
      </c>
      <c r="C17" s="338"/>
      <c r="D17" s="29">
        <f>'1.HCMR'!D17+'2.FCPCT'!D17+'3.IRTA'!D17+'4.IOLR'!D17+'5.UNIABD'!D17+'6.DLO'!D17+'7.IMR'!D17+'8.IEO'!D17+'9.UL'!D17+'10.TUe'!D17+'11.AU'!D17+'12. APROMAR'!D17+'13.UNIBA'!D17+'14.IFREMER'!D17+'15.ULL'!D17+'16.FUNDP'!D17+'17.NIFES'!D17+'18.CTAQUA'!D17+'19.CMRM'!D17+'20.SARC'!D17+'21.DTU'!D17+'22.SWH'!D17+'23.ARGO'!D17+'24.ITICAL'!D17+'25.DOR'!D17+'26.GEI'!D17+'27.FORKYS'!D17+'28.CANEXMAR'!D17+'29.ASIALOR'!D17+'30.CULMAREX'!D17+'31.IRIDA'!D17+'32. MC2'!D17+'33. FGM'!D17+'34. BVFi'!D17+'35. MASZ'!D17+'36. ANFACO'!D17+'37. EUFIC'!D17+'38. HRH'!D17+'39. Fish 2 BE'!D17+'40. GMF'!D17</f>
        <v>7957204.7680000011</v>
      </c>
      <c r="E17" s="39">
        <f>E16*50%</f>
        <v>0</v>
      </c>
      <c r="F17" s="39">
        <f>F16*100%</f>
        <v>0</v>
      </c>
      <c r="G17" s="39">
        <f>G16*100%</f>
        <v>582208.902</v>
      </c>
      <c r="H17" s="40">
        <f>H16*100%</f>
        <v>421607.19999999995</v>
      </c>
      <c r="I17" s="20"/>
      <c r="J17" s="33">
        <f>SUM(D17:H17)</f>
        <v>8961020.870000001</v>
      </c>
    </row>
    <row r="18" spans="1:12" ht="30" customHeight="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397">
        <f>J16-J17</f>
        <v>2816686.7359999996</v>
      </c>
      <c r="L18" s="371"/>
    </row>
    <row r="19" spans="1:12">
      <c r="D19" s="44"/>
      <c r="E19" s="44"/>
      <c r="F19" s="44"/>
      <c r="G19" s="44"/>
      <c r="H19" s="44"/>
      <c r="I19" s="45"/>
      <c r="J19" s="398">
        <f>J18/J16</f>
        <v>0.23915407227167662</v>
      </c>
    </row>
    <row r="20" spans="1:12">
      <c r="D20" s="44"/>
      <c r="E20" s="44"/>
      <c r="F20" s="44"/>
      <c r="G20" s="44"/>
      <c r="H20" s="44"/>
      <c r="I20" s="45"/>
      <c r="J20" s="46"/>
    </row>
    <row r="43" spans="4:10">
      <c r="D43" s="10" t="s">
        <v>83</v>
      </c>
      <c r="E43" s="10"/>
      <c r="F43" s="10"/>
      <c r="G43" s="10" t="s">
        <v>95</v>
      </c>
      <c r="H43" s="10" t="s">
        <v>96</v>
      </c>
    </row>
    <row r="44" spans="4:10">
      <c r="D44" s="154">
        <f>(D45/$J$45)*100</f>
        <v>91.476982316247856</v>
      </c>
      <c r="E44" s="154"/>
      <c r="F44" s="154"/>
      <c r="G44" s="154">
        <f>(G45/$J$45)*100</f>
        <v>4.9433125823517745</v>
      </c>
      <c r="H44" s="154">
        <f>(H45/$J$45)*100</f>
        <v>3.579705101400358</v>
      </c>
      <c r="J44" s="117">
        <f>D44+G44+H44</f>
        <v>100</v>
      </c>
    </row>
    <row r="45" spans="4:10">
      <c r="D45" s="153">
        <f>D16</f>
        <v>10773891.503999999</v>
      </c>
      <c r="G45" s="153">
        <f>G16</f>
        <v>582208.902</v>
      </c>
      <c r="H45" s="153">
        <f>H16</f>
        <v>421607.19999999995</v>
      </c>
      <c r="J45" s="153">
        <f>J16</f>
        <v>11777707.606000001</v>
      </c>
    </row>
  </sheetData>
  <mergeCells count="1">
    <mergeCell ref="B10:B13"/>
  </mergeCells>
  <phoneticPr fontId="3" type="noConversion"/>
  <pageMargins left="0.75000000000000011" right="0.75000000000000011" top="1" bottom="1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6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1:J34"/>
  <sheetViews>
    <sheetView workbookViewId="0">
      <selection activeCell="D11" sqref="D11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41</v>
      </c>
      <c r="C3" s="110"/>
      <c r="H3" s="449">
        <v>42656</v>
      </c>
    </row>
    <row r="4" spans="1:10">
      <c r="G4" s="5"/>
      <c r="H4" s="4"/>
    </row>
    <row r="5" spans="1:10">
      <c r="A5" s="48"/>
      <c r="B5" s="48" t="s">
        <v>201</v>
      </c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85779</v>
      </c>
      <c r="E8" s="17"/>
      <c r="F8" s="17"/>
      <c r="G8" s="18">
        <v>2400</v>
      </c>
      <c r="H8" s="19">
        <v>39960</v>
      </c>
      <c r="I8" s="20"/>
      <c r="J8" s="21">
        <f t="shared" ref="J8:J14" si="0">SUM(D8:H8)</f>
        <v>128139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38571</v>
      </c>
      <c r="E10" s="23"/>
      <c r="F10" s="23"/>
      <c r="G10" s="24"/>
      <c r="H10" s="25">
        <v>5095</v>
      </c>
      <c r="I10" s="20"/>
      <c r="J10" s="26">
        <f t="shared" si="0"/>
        <v>43666</v>
      </c>
    </row>
    <row r="11" spans="1:10">
      <c r="A11" s="8"/>
      <c r="B11" s="647"/>
      <c r="C11" s="87" t="s">
        <v>13</v>
      </c>
      <c r="D11" s="22">
        <v>5426</v>
      </c>
      <c r="E11" s="23"/>
      <c r="F11" s="23"/>
      <c r="G11" s="24">
        <v>3550</v>
      </c>
      <c r="H11" s="25">
        <v>10175</v>
      </c>
      <c r="I11" s="20"/>
      <c r="J11" s="26">
        <f t="shared" si="0"/>
        <v>19151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>
        <v>0</v>
      </c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43997</v>
      </c>
      <c r="E13" s="23">
        <f>SUM(E10:E12)</f>
        <v>0</v>
      </c>
      <c r="F13" s="23">
        <f>SUM(F10:F12)</f>
        <v>0</v>
      </c>
      <c r="G13" s="23">
        <f>SUM(G10:G12)</f>
        <v>3550</v>
      </c>
      <c r="H13" s="28">
        <f>SUM(H10:H12)</f>
        <v>15270</v>
      </c>
      <c r="I13" s="20"/>
      <c r="J13" s="26">
        <f t="shared" si="0"/>
        <v>62817</v>
      </c>
    </row>
    <row r="14" spans="1:10" ht="31" thickBot="1">
      <c r="A14" s="8"/>
      <c r="B14" s="104" t="s">
        <v>18</v>
      </c>
      <c r="C14" s="105"/>
      <c r="D14" s="29">
        <f>(D8+D13)*60%</f>
        <v>77865.599999999991</v>
      </c>
      <c r="E14" s="30"/>
      <c r="F14" s="30"/>
      <c r="G14" s="29">
        <f>(G8+G13)*60%</f>
        <v>3570</v>
      </c>
      <c r="H14" s="29">
        <f>(H8+H13)*60%</f>
        <v>33138</v>
      </c>
      <c r="I14" s="20"/>
      <c r="J14" s="33">
        <f t="shared" si="0"/>
        <v>114573.59999999999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207641.59999999998</v>
      </c>
      <c r="E16" s="36">
        <f>E8+E9+E13+E14</f>
        <v>0</v>
      </c>
      <c r="F16" s="36">
        <f>F8+F9+F13+F14</f>
        <v>0</v>
      </c>
      <c r="G16" s="36">
        <f>G8+G9+G13+G14</f>
        <v>9520</v>
      </c>
      <c r="H16" s="37">
        <f>H8+H9+H13+H14</f>
        <v>88368</v>
      </c>
      <c r="I16" s="20"/>
      <c r="J16" s="21">
        <f>J8+J9+J13+J14</f>
        <v>305529.59999999998</v>
      </c>
    </row>
    <row r="17" spans="1:10" ht="31" thickBot="1">
      <c r="A17" s="8"/>
      <c r="B17" s="108" t="s">
        <v>11</v>
      </c>
      <c r="C17" s="109"/>
      <c r="D17" s="38">
        <f>D16*75%</f>
        <v>155731.19999999998</v>
      </c>
      <c r="E17" s="39">
        <f>E16*50%</f>
        <v>0</v>
      </c>
      <c r="F17" s="39">
        <f>F16*100%</f>
        <v>0</v>
      </c>
      <c r="G17" s="39">
        <f>G16*100%</f>
        <v>9520</v>
      </c>
      <c r="H17" s="40">
        <f>H16*100%</f>
        <v>88368</v>
      </c>
      <c r="I17" s="20"/>
      <c r="J17" s="33">
        <f>SUM(D17:H17)</f>
        <v>253619.19999999998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0">
      <c r="D19" s="44"/>
      <c r="E19" s="44"/>
      <c r="F19" s="44"/>
      <c r="G19" s="44"/>
      <c r="H19" s="44"/>
      <c r="I19" s="45"/>
      <c r="J19" s="46"/>
    </row>
    <row r="20" spans="1:10">
      <c r="D20" s="44"/>
      <c r="E20" s="44"/>
      <c r="F20" s="44"/>
      <c r="G20" s="44"/>
      <c r="H20" s="44"/>
      <c r="I20" s="45"/>
      <c r="J20" s="46"/>
    </row>
    <row r="21" spans="1:10">
      <c r="A21" s="48"/>
      <c r="B21" s="8"/>
      <c r="C21" s="8"/>
      <c r="D21" s="9"/>
      <c r="E21" s="9"/>
      <c r="F21" s="9"/>
      <c r="G21" s="9"/>
      <c r="H21" s="9"/>
      <c r="I21" s="15"/>
      <c r="J21" s="8"/>
    </row>
    <row r="22" spans="1:10" ht="30">
      <c r="A22" s="8"/>
      <c r="B22" s="8"/>
      <c r="C22" s="8"/>
      <c r="D22" s="10" t="s">
        <v>8</v>
      </c>
      <c r="E22" s="10" t="s">
        <v>2</v>
      </c>
      <c r="F22" s="10" t="s">
        <v>3</v>
      </c>
      <c r="G22" s="10" t="s">
        <v>9</v>
      </c>
      <c r="H22" s="10" t="s">
        <v>10</v>
      </c>
      <c r="I22" s="15"/>
      <c r="J22" s="11" t="s">
        <v>7</v>
      </c>
    </row>
    <row r="23" spans="1:10" ht="16" thickBot="1">
      <c r="A23" s="8"/>
      <c r="B23" s="8"/>
      <c r="C23" s="8"/>
      <c r="D23" s="11"/>
      <c r="E23" s="11"/>
      <c r="F23" s="11"/>
      <c r="G23" s="11"/>
      <c r="H23" s="11"/>
      <c r="I23" s="15"/>
      <c r="J23" s="8"/>
    </row>
    <row r="24" spans="1:10">
      <c r="A24" s="8"/>
      <c r="B24" s="101" t="s">
        <v>5</v>
      </c>
      <c r="C24" s="102"/>
      <c r="D24" s="16">
        <v>107400</v>
      </c>
      <c r="E24" s="17"/>
      <c r="F24" s="17"/>
      <c r="G24" s="18">
        <v>2400</v>
      </c>
      <c r="H24" s="19">
        <v>30640</v>
      </c>
      <c r="I24" s="20"/>
      <c r="J24" s="21">
        <f t="shared" ref="J24:J30" si="1">SUM(D24:H24)</f>
        <v>140440</v>
      </c>
    </row>
    <row r="25" spans="1:10">
      <c r="A25" s="8"/>
      <c r="B25" s="559" t="s">
        <v>4</v>
      </c>
      <c r="C25" s="86"/>
      <c r="D25" s="22"/>
      <c r="E25" s="23"/>
      <c r="F25" s="23"/>
      <c r="G25" s="24"/>
      <c r="H25" s="25"/>
      <c r="I25" s="20"/>
      <c r="J25" s="26">
        <f t="shared" si="1"/>
        <v>0</v>
      </c>
    </row>
    <row r="26" spans="1:10">
      <c r="A26" s="8"/>
      <c r="B26" s="646" t="s">
        <v>19</v>
      </c>
      <c r="C26" s="87" t="s">
        <v>12</v>
      </c>
      <c r="D26" s="22">
        <v>34703</v>
      </c>
      <c r="E26" s="23"/>
      <c r="F26" s="23"/>
      <c r="G26" s="24"/>
      <c r="H26" s="25">
        <v>2595</v>
      </c>
      <c r="I26" s="20"/>
      <c r="J26" s="26">
        <f t="shared" si="1"/>
        <v>37298</v>
      </c>
    </row>
    <row r="27" spans="1:10">
      <c r="A27" s="8"/>
      <c r="B27" s="647"/>
      <c r="C27" s="87" t="s">
        <v>13</v>
      </c>
      <c r="D27" s="22">
        <v>7433</v>
      </c>
      <c r="E27" s="23"/>
      <c r="F27" s="23"/>
      <c r="G27" s="24">
        <v>3550</v>
      </c>
      <c r="H27" s="25">
        <v>7175</v>
      </c>
      <c r="I27" s="20"/>
      <c r="J27" s="26">
        <f t="shared" si="1"/>
        <v>18158</v>
      </c>
    </row>
    <row r="28" spans="1:10">
      <c r="A28" s="8"/>
      <c r="B28" s="647"/>
      <c r="C28" s="87" t="s">
        <v>14</v>
      </c>
      <c r="D28" s="22"/>
      <c r="E28" s="23"/>
      <c r="F28" s="23"/>
      <c r="G28" s="24"/>
      <c r="H28" s="25">
        <v>0</v>
      </c>
      <c r="I28" s="20"/>
      <c r="J28" s="26">
        <f t="shared" si="1"/>
        <v>0</v>
      </c>
    </row>
    <row r="29" spans="1:10">
      <c r="A29" s="8"/>
      <c r="B29" s="647"/>
      <c r="C29" s="88" t="s">
        <v>15</v>
      </c>
      <c r="D29" s="27">
        <f>SUM(D26:D28)</f>
        <v>42136</v>
      </c>
      <c r="E29" s="23">
        <f>SUM(E26:E28)</f>
        <v>0</v>
      </c>
      <c r="F29" s="23">
        <f>SUM(F26:F28)</f>
        <v>0</v>
      </c>
      <c r="G29" s="23">
        <f>SUM(G26:G28)</f>
        <v>3550</v>
      </c>
      <c r="H29" s="28">
        <f>SUM(H26:H28)</f>
        <v>9770</v>
      </c>
      <c r="I29" s="20"/>
      <c r="J29" s="26">
        <f t="shared" si="1"/>
        <v>55456</v>
      </c>
    </row>
    <row r="30" spans="1:10" ht="31" thickBot="1">
      <c r="A30" s="8"/>
      <c r="B30" s="104" t="s">
        <v>18</v>
      </c>
      <c r="C30" s="105"/>
      <c r="D30" s="29">
        <f>(D24+D29)*60%</f>
        <v>89721.599999999991</v>
      </c>
      <c r="E30" s="30"/>
      <c r="F30" s="30"/>
      <c r="G30" s="29">
        <f>(G24+G29)*60%</f>
        <v>3570</v>
      </c>
      <c r="H30" s="29">
        <f>(H24+H29)*60%</f>
        <v>24246</v>
      </c>
      <c r="I30" s="20"/>
      <c r="J30" s="33">
        <f t="shared" si="1"/>
        <v>117537.59999999999</v>
      </c>
    </row>
    <row r="31" spans="1:10" ht="16" thickBot="1">
      <c r="A31" s="8"/>
      <c r="B31" s="12"/>
      <c r="C31" s="13"/>
      <c r="D31" s="34"/>
      <c r="E31" s="34"/>
      <c r="F31" s="34"/>
      <c r="G31" s="34"/>
      <c r="H31" s="34"/>
      <c r="I31" s="20"/>
      <c r="J31" s="20"/>
    </row>
    <row r="32" spans="1:10">
      <c r="A32" s="8"/>
      <c r="B32" s="106" t="s">
        <v>6</v>
      </c>
      <c r="C32" s="107"/>
      <c r="D32" s="35">
        <f>D24+D25+D29+D30</f>
        <v>239257.59999999998</v>
      </c>
      <c r="E32" s="36">
        <f>E24+E25+E29+E30</f>
        <v>0</v>
      </c>
      <c r="F32" s="36">
        <f>F24+F25+F29+F30</f>
        <v>0</v>
      </c>
      <c r="G32" s="36">
        <f>G24+G25+G29+G30</f>
        <v>9520</v>
      </c>
      <c r="H32" s="37">
        <f>H24+H25+H29+H30</f>
        <v>64656</v>
      </c>
      <c r="I32" s="20"/>
      <c r="J32" s="21">
        <f>J24+J25+J29+J30</f>
        <v>313433.59999999998</v>
      </c>
    </row>
    <row r="33" spans="1:10" ht="31" thickBot="1">
      <c r="A33" s="8"/>
      <c r="B33" s="108" t="s">
        <v>11</v>
      </c>
      <c r="C33" s="109"/>
      <c r="D33" s="38">
        <f>D32*75%</f>
        <v>179443.19999999998</v>
      </c>
      <c r="E33" s="39">
        <f>E32*50%</f>
        <v>0</v>
      </c>
      <c r="F33" s="39">
        <f>F32*100%</f>
        <v>0</v>
      </c>
      <c r="G33" s="39">
        <f>G32*100%</f>
        <v>9520</v>
      </c>
      <c r="H33" s="40">
        <f>H32*100%</f>
        <v>64656</v>
      </c>
      <c r="I33" s="20"/>
      <c r="J33" s="33">
        <f>SUM(D33:H33)</f>
        <v>253619.19999999998</v>
      </c>
    </row>
    <row r="34" spans="1:10">
      <c r="A34" s="47" t="s">
        <v>20</v>
      </c>
      <c r="B34" s="47"/>
      <c r="C34" s="8"/>
      <c r="D34" s="41"/>
      <c r="E34" s="41"/>
      <c r="F34" s="41"/>
      <c r="G34" s="41"/>
      <c r="H34" s="41"/>
      <c r="I34" s="42"/>
      <c r="J34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23"/>
  <sheetViews>
    <sheetView workbookViewId="0">
      <selection activeCell="H4" sqref="H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42</v>
      </c>
      <c r="C3" s="110"/>
      <c r="H3" s="193" t="s">
        <v>151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54000</v>
      </c>
      <c r="E8" s="17"/>
      <c r="F8" s="17"/>
      <c r="G8" s="18">
        <v>1000</v>
      </c>
      <c r="H8" s="19"/>
      <c r="I8" s="20"/>
      <c r="J8" s="21">
        <f t="shared" ref="J8:J14" si="0">SUM(D8:H8)</f>
        <v>55000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40666</v>
      </c>
      <c r="E10" s="23"/>
      <c r="F10" s="23"/>
      <c r="G10" s="24"/>
      <c r="H10" s="25"/>
      <c r="I10" s="20"/>
      <c r="J10" s="26">
        <f t="shared" si="0"/>
        <v>40666</v>
      </c>
    </row>
    <row r="11" spans="1:10">
      <c r="A11" s="8"/>
      <c r="B11" s="647"/>
      <c r="C11" s="87" t="s">
        <v>13</v>
      </c>
      <c r="D11" s="22">
        <v>11000</v>
      </c>
      <c r="E11" s="23"/>
      <c r="F11" s="23"/>
      <c r="G11" s="24">
        <v>4313</v>
      </c>
      <c r="H11" s="25"/>
      <c r="I11" s="20"/>
      <c r="J11" s="26">
        <f t="shared" si="0"/>
        <v>15313</v>
      </c>
    </row>
    <row r="12" spans="1:10">
      <c r="A12" s="8"/>
      <c r="B12" s="647"/>
      <c r="C12" s="87" t="s">
        <v>14</v>
      </c>
      <c r="D12" s="22">
        <v>10000</v>
      </c>
      <c r="E12" s="23"/>
      <c r="F12" s="23"/>
      <c r="G12" s="24"/>
      <c r="H12" s="25"/>
      <c r="I12" s="20"/>
      <c r="J12" s="26">
        <f t="shared" si="0"/>
        <v>10000</v>
      </c>
    </row>
    <row r="13" spans="1:10">
      <c r="A13" s="8"/>
      <c r="B13" s="647"/>
      <c r="C13" s="88" t="s">
        <v>15</v>
      </c>
      <c r="D13" s="27">
        <f>SUM(D10:D12)</f>
        <v>61666</v>
      </c>
      <c r="E13" s="23">
        <f>SUM(E10:E12)</f>
        <v>0</v>
      </c>
      <c r="F13" s="23">
        <f>SUM(F10:F12)</f>
        <v>0</v>
      </c>
      <c r="G13" s="23">
        <f>SUM(G10:G12)</f>
        <v>4313</v>
      </c>
      <c r="H13" s="28">
        <f>SUM(H10:H12)</f>
        <v>0</v>
      </c>
      <c r="I13" s="20"/>
      <c r="J13" s="26">
        <f t="shared" si="0"/>
        <v>65979</v>
      </c>
    </row>
    <row r="14" spans="1:10" ht="31" thickBot="1">
      <c r="A14" s="8"/>
      <c r="B14" s="104" t="s">
        <v>18</v>
      </c>
      <c r="C14" s="105"/>
      <c r="D14" s="31">
        <f>(D13+D8)*60%</f>
        <v>69399.599999999991</v>
      </c>
      <c r="E14" s="30"/>
      <c r="F14" s="30"/>
      <c r="G14" s="31">
        <f>(G13+G8)*60%</f>
        <v>3187.7999999999997</v>
      </c>
      <c r="H14" s="32"/>
      <c r="I14" s="20"/>
      <c r="J14" s="33">
        <f t="shared" si="0"/>
        <v>72587.399999999994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185065.59999999998</v>
      </c>
      <c r="E16" s="36">
        <f>E8+E9+E13+E14</f>
        <v>0</v>
      </c>
      <c r="F16" s="36">
        <f>F8+F9+F13+F14</f>
        <v>0</v>
      </c>
      <c r="G16" s="36">
        <f>G8+G9+G13+G14</f>
        <v>8500.7999999999993</v>
      </c>
      <c r="H16" s="37">
        <f>H8+H9+H13+H14</f>
        <v>0</v>
      </c>
      <c r="I16" s="20"/>
      <c r="J16" s="21">
        <f>J8+J9+J13+J14</f>
        <v>193566.4</v>
      </c>
    </row>
    <row r="17" spans="1:11" ht="31" thickBot="1">
      <c r="A17" s="8"/>
      <c r="B17" s="108" t="s">
        <v>11</v>
      </c>
      <c r="C17" s="109"/>
      <c r="D17" s="38">
        <f>D16*75%</f>
        <v>138799.19999999998</v>
      </c>
      <c r="E17" s="39">
        <f>E16*50%</f>
        <v>0</v>
      </c>
      <c r="F17" s="39">
        <f>F16*100%</f>
        <v>0</v>
      </c>
      <c r="G17" s="39">
        <f>G16*100%</f>
        <v>8500.7999999999993</v>
      </c>
      <c r="H17" s="40">
        <f>H16*100%</f>
        <v>0</v>
      </c>
      <c r="I17" s="20"/>
      <c r="J17" s="33">
        <f>SUM(D17:H17)</f>
        <v>147299.99999999997</v>
      </c>
      <c r="K17" t="s">
        <v>113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  <row r="23" spans="1:11" ht="31" thickBot="1">
      <c r="B23" s="104" t="s">
        <v>18</v>
      </c>
      <c r="C23" s="105"/>
      <c r="D23" s="31">
        <f>(D22+D17)*20%</f>
        <v>27759.839999999997</v>
      </c>
      <c r="E23" s="30"/>
      <c r="F23" s="30"/>
      <c r="G23" s="31">
        <f>(G22+G17)*20%</f>
        <v>1700.1599999999999</v>
      </c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33"/>
  <sheetViews>
    <sheetView workbookViewId="0">
      <selection activeCell="D9" sqref="D9"/>
    </sheetView>
  </sheetViews>
  <sheetFormatPr baseColWidth="10" defaultRowHeight="15" x14ac:dyDescent="0"/>
  <cols>
    <col min="1" max="1" width="16.1640625" customWidth="1"/>
    <col min="2" max="2" width="16.33203125" customWidth="1"/>
    <col min="3" max="3" width="12" bestFit="1" customWidth="1"/>
    <col min="4" max="4" width="16.1640625" customWidth="1"/>
    <col min="5" max="5" width="14.6640625" customWidth="1"/>
    <col min="7" max="7" width="14.33203125" customWidth="1"/>
    <col min="8" max="8" width="14.5" customWidth="1"/>
    <col min="9" max="9" width="3.83203125" customWidth="1"/>
  </cols>
  <sheetData>
    <row r="1" spans="1:10" s="2" customFormat="1" ht="16">
      <c r="A1" s="1" t="s">
        <v>0</v>
      </c>
      <c r="D1" s="3"/>
      <c r="E1" s="3"/>
      <c r="F1" s="3"/>
      <c r="G1" s="3"/>
      <c r="H1" s="3"/>
      <c r="I1" s="14"/>
    </row>
    <row r="2" spans="1:10" s="2" customFormat="1" ht="16">
      <c r="A2" s="1" t="s">
        <v>1</v>
      </c>
      <c r="D2" s="3"/>
      <c r="E2" s="3"/>
      <c r="F2" s="3"/>
      <c r="G2" s="3"/>
      <c r="H2" s="3"/>
      <c r="I2" s="14"/>
    </row>
    <row r="3" spans="1:10" s="2" customFormat="1" ht="16">
      <c r="A3" s="6" t="s">
        <v>23</v>
      </c>
      <c r="B3" s="7" t="s">
        <v>43</v>
      </c>
      <c r="C3" s="110"/>
      <c r="D3" s="3"/>
      <c r="E3" s="3"/>
      <c r="F3" s="3"/>
      <c r="G3" s="3"/>
      <c r="H3" s="194" t="s">
        <v>165</v>
      </c>
      <c r="I3" s="14"/>
    </row>
    <row r="5" spans="1:10" s="2" customFormat="1">
      <c r="A5" s="49" t="s">
        <v>16</v>
      </c>
      <c r="B5" s="50"/>
      <c r="C5" s="50"/>
      <c r="D5" s="51"/>
      <c r="E5" s="51"/>
      <c r="F5" s="51"/>
      <c r="G5" s="51"/>
      <c r="H5" s="51"/>
      <c r="I5" s="52"/>
      <c r="J5" s="53"/>
    </row>
    <row r="6" spans="1:10" s="2" customFormat="1" ht="30">
      <c r="A6" s="50"/>
      <c r="B6" s="50"/>
      <c r="C6" s="50"/>
      <c r="D6" s="54" t="s">
        <v>8</v>
      </c>
      <c r="E6" s="54" t="s">
        <v>2</v>
      </c>
      <c r="F6" s="54" t="s">
        <v>3</v>
      </c>
      <c r="G6" s="54" t="s">
        <v>9</v>
      </c>
      <c r="H6" s="54" t="s">
        <v>10</v>
      </c>
      <c r="I6" s="52"/>
      <c r="J6" s="55" t="s">
        <v>7</v>
      </c>
    </row>
    <row r="7" spans="1:10" s="2" customFormat="1" ht="16" thickBot="1">
      <c r="A7" s="50"/>
      <c r="B7" s="50"/>
      <c r="C7" s="50"/>
      <c r="D7" s="55"/>
      <c r="E7" s="55"/>
      <c r="F7" s="55"/>
      <c r="G7" s="55"/>
      <c r="H7" s="55"/>
      <c r="I7" s="52"/>
      <c r="J7" s="53"/>
    </row>
    <row r="8" spans="1:10" s="2" customFormat="1">
      <c r="A8" s="50"/>
      <c r="B8" s="96" t="s">
        <v>5</v>
      </c>
      <c r="C8" s="97"/>
      <c r="D8" s="58">
        <v>86450</v>
      </c>
      <c r="E8" s="59"/>
      <c r="F8" s="59"/>
      <c r="G8" s="60">
        <v>7500</v>
      </c>
      <c r="H8" s="61"/>
      <c r="I8" s="62"/>
      <c r="J8" s="63">
        <f t="shared" ref="J8:J14" si="0">SUM(D8:H8)</f>
        <v>93950</v>
      </c>
    </row>
    <row r="9" spans="1:10" s="2" customFormat="1">
      <c r="A9" s="50"/>
      <c r="B9" s="98" t="s">
        <v>4</v>
      </c>
      <c r="C9" s="89"/>
      <c r="D9" s="64"/>
      <c r="E9" s="65"/>
      <c r="F9" s="65"/>
      <c r="G9" s="66"/>
      <c r="H9" s="67"/>
      <c r="I9" s="62"/>
      <c r="J9" s="68">
        <f t="shared" si="0"/>
        <v>0</v>
      </c>
    </row>
    <row r="10" spans="1:10" s="2" customFormat="1">
      <c r="A10" s="50"/>
      <c r="B10" s="654" t="s">
        <v>19</v>
      </c>
      <c r="C10" s="90" t="s">
        <v>12</v>
      </c>
      <c r="D10" s="64">
        <v>22000</v>
      </c>
      <c r="E10" s="65"/>
      <c r="F10" s="65"/>
      <c r="G10" s="66"/>
      <c r="H10" s="67"/>
      <c r="I10" s="62"/>
      <c r="J10" s="68">
        <f t="shared" si="0"/>
        <v>22000</v>
      </c>
    </row>
    <row r="11" spans="1:10" s="2" customFormat="1">
      <c r="A11" s="50"/>
      <c r="B11" s="655"/>
      <c r="C11" s="90" t="s">
        <v>13</v>
      </c>
      <c r="D11" s="64">
        <v>12000</v>
      </c>
      <c r="E11" s="65"/>
      <c r="F11" s="65"/>
      <c r="G11" s="66">
        <v>5000</v>
      </c>
      <c r="H11" s="67"/>
      <c r="I11" s="62"/>
      <c r="J11" s="68">
        <f t="shared" si="0"/>
        <v>17000</v>
      </c>
    </row>
    <row r="12" spans="1:10" s="2" customFormat="1">
      <c r="A12" s="50"/>
      <c r="B12" s="655"/>
      <c r="C12" s="90" t="s">
        <v>14</v>
      </c>
      <c r="D12" s="64"/>
      <c r="E12" s="65"/>
      <c r="F12" s="65"/>
      <c r="G12" s="66"/>
      <c r="H12" s="67"/>
      <c r="I12" s="62"/>
      <c r="J12" s="68">
        <f t="shared" si="0"/>
        <v>0</v>
      </c>
    </row>
    <row r="13" spans="1:10" s="2" customFormat="1">
      <c r="A13" s="50"/>
      <c r="B13" s="655"/>
      <c r="C13" s="91" t="s">
        <v>15</v>
      </c>
      <c r="D13" s="69">
        <f>SUM(D10:D12)</f>
        <v>34000</v>
      </c>
      <c r="E13" s="65">
        <f>SUM(E10:E12)</f>
        <v>0</v>
      </c>
      <c r="F13" s="65">
        <f>SUM(F10:F12)</f>
        <v>0</v>
      </c>
      <c r="G13" s="65">
        <f>SUM(G10:G12)</f>
        <v>5000</v>
      </c>
      <c r="H13" s="70">
        <f>SUM(H10:H12)</f>
        <v>0</v>
      </c>
      <c r="I13" s="62"/>
      <c r="J13" s="68">
        <f t="shared" si="0"/>
        <v>39000</v>
      </c>
    </row>
    <row r="14" spans="1:10" s="2" customFormat="1" ht="31" thickBot="1">
      <c r="A14" s="50"/>
      <c r="B14" s="99" t="s">
        <v>18</v>
      </c>
      <c r="C14" s="100" t="s">
        <v>148</v>
      </c>
      <c r="D14" s="71">
        <v>20000</v>
      </c>
      <c r="E14" s="72"/>
      <c r="F14" s="72"/>
      <c r="G14" s="73">
        <v>2400</v>
      </c>
      <c r="H14" s="74"/>
      <c r="I14" s="62"/>
      <c r="J14" s="75">
        <f t="shared" si="0"/>
        <v>22400</v>
      </c>
    </row>
    <row r="15" spans="1:10" s="2" customFormat="1" ht="16" thickBot="1">
      <c r="A15" s="50"/>
      <c r="B15" s="56"/>
      <c r="C15" s="57"/>
      <c r="D15" s="76"/>
      <c r="E15" s="76"/>
      <c r="F15" s="76"/>
      <c r="G15" s="76"/>
      <c r="H15" s="76"/>
      <c r="I15" s="62"/>
      <c r="J15" s="62"/>
    </row>
    <row r="16" spans="1:10" s="2" customFormat="1">
      <c r="A16" s="50"/>
      <c r="B16" s="92" t="s">
        <v>6</v>
      </c>
      <c r="C16" s="93"/>
      <c r="D16" s="77">
        <f>D8+D9+D13+D14</f>
        <v>140450</v>
      </c>
      <c r="E16" s="78">
        <f>E8+E9+E13+E14</f>
        <v>0</v>
      </c>
      <c r="F16" s="78">
        <f>F8+F9+F13+F14</f>
        <v>0</v>
      </c>
      <c r="G16" s="78">
        <f>G8+G9+G13+G14</f>
        <v>14900</v>
      </c>
      <c r="H16" s="79">
        <f>H8+H9+H13+H14</f>
        <v>0</v>
      </c>
      <c r="I16" s="62"/>
      <c r="J16" s="63">
        <f>J8+J9+J13+J14</f>
        <v>155350</v>
      </c>
    </row>
    <row r="17" spans="1:10" s="2" customFormat="1" ht="31" thickBot="1">
      <c r="A17" s="50"/>
      <c r="B17" s="94" t="s">
        <v>11</v>
      </c>
      <c r="C17" s="95"/>
      <c r="D17" s="80">
        <f>D16*50%</f>
        <v>70225</v>
      </c>
      <c r="E17" s="81">
        <f>E16*50%</f>
        <v>0</v>
      </c>
      <c r="F17" s="81">
        <f>F16*100%</f>
        <v>0</v>
      </c>
      <c r="G17" s="81">
        <f>G16*100%</f>
        <v>14900</v>
      </c>
      <c r="H17" s="82">
        <f>H16*100%</f>
        <v>0</v>
      </c>
      <c r="I17" s="62"/>
      <c r="J17" s="75">
        <f>SUM(D17:H17)</f>
        <v>85125</v>
      </c>
    </row>
    <row r="18" spans="1:10" s="2" customFormat="1">
      <c r="A18" s="83" t="s">
        <v>20</v>
      </c>
      <c r="B18" s="50"/>
      <c r="C18" s="50"/>
      <c r="D18" s="84"/>
      <c r="E18" s="84"/>
      <c r="F18" s="84"/>
      <c r="G18" s="84"/>
      <c r="H18" s="84"/>
      <c r="I18" s="85"/>
      <c r="J18" s="50"/>
    </row>
    <row r="21" spans="1:10">
      <c r="A21" s="378" t="s">
        <v>149</v>
      </c>
      <c r="B21" s="378"/>
      <c r="C21" s="378"/>
      <c r="D21" s="378"/>
      <c r="E21" s="378"/>
      <c r="F21" s="378"/>
      <c r="G21" s="378"/>
      <c r="H21" s="378"/>
    </row>
    <row r="22" spans="1:10">
      <c r="A22" s="378"/>
      <c r="B22" s="378"/>
      <c r="C22" s="378"/>
      <c r="D22" s="378"/>
      <c r="E22" s="378"/>
      <c r="F22" s="378"/>
      <c r="G22" s="378"/>
      <c r="H22" s="378"/>
    </row>
    <row r="23" spans="1:10">
      <c r="A23" s="378"/>
      <c r="B23" s="378"/>
      <c r="C23" s="378"/>
      <c r="D23" s="378"/>
      <c r="E23" s="378"/>
      <c r="F23" s="378"/>
      <c r="G23" s="378"/>
      <c r="H23" s="378"/>
    </row>
    <row r="24" spans="1:10">
      <c r="A24" s="378"/>
      <c r="B24" s="378"/>
      <c r="C24" s="378"/>
      <c r="D24" s="378"/>
      <c r="E24" s="378"/>
      <c r="F24" s="378"/>
      <c r="G24" s="378"/>
      <c r="H24" s="378"/>
    </row>
    <row r="25" spans="1:10">
      <c r="A25" s="378"/>
      <c r="B25" s="378"/>
      <c r="C25" s="378"/>
      <c r="D25" s="378"/>
      <c r="E25" s="378"/>
      <c r="F25" s="378"/>
      <c r="G25" s="378"/>
      <c r="H25" s="378"/>
    </row>
    <row r="26" spans="1:10">
      <c r="A26" s="378"/>
      <c r="B26" s="378"/>
      <c r="C26" s="378"/>
      <c r="D26" s="378"/>
      <c r="E26" s="378"/>
      <c r="F26" s="378"/>
      <c r="G26" s="378"/>
      <c r="H26" s="378"/>
    </row>
    <row r="27" spans="1:10">
      <c r="A27" s="378"/>
      <c r="B27" s="378"/>
      <c r="C27" s="378"/>
      <c r="D27" s="378"/>
      <c r="E27" s="378"/>
      <c r="F27" s="378"/>
      <c r="G27" s="378"/>
      <c r="H27" s="378"/>
    </row>
    <row r="28" spans="1:10">
      <c r="A28" s="378"/>
      <c r="B28" s="378"/>
      <c r="C28" s="378"/>
      <c r="D28" s="378"/>
      <c r="E28" s="378"/>
      <c r="F28" s="378"/>
      <c r="G28" s="378"/>
      <c r="H28" s="378"/>
    </row>
    <row r="29" spans="1:10">
      <c r="A29" s="378"/>
      <c r="B29" s="378"/>
      <c r="C29" s="378"/>
      <c r="D29" s="378"/>
      <c r="E29" s="378"/>
      <c r="F29" s="378"/>
      <c r="G29" s="378"/>
      <c r="H29" s="378"/>
    </row>
    <row r="30" spans="1:10">
      <c r="A30" s="378"/>
      <c r="B30" s="378"/>
      <c r="C30" s="378"/>
      <c r="D30" s="378"/>
      <c r="E30" s="378"/>
      <c r="F30" s="378"/>
      <c r="G30" s="378"/>
      <c r="H30" s="378"/>
    </row>
    <row r="31" spans="1:10">
      <c r="A31" s="378"/>
      <c r="B31" s="378"/>
      <c r="C31" s="378"/>
      <c r="D31" s="378"/>
      <c r="E31" s="378"/>
      <c r="F31" s="378"/>
      <c r="G31" s="378"/>
      <c r="H31" s="378"/>
    </row>
    <row r="32" spans="1:10">
      <c r="A32" s="378"/>
      <c r="B32" s="378"/>
      <c r="C32" s="378"/>
      <c r="D32" s="378"/>
      <c r="E32" s="378"/>
      <c r="F32" s="378"/>
      <c r="G32" s="378"/>
      <c r="H32" s="378"/>
    </row>
    <row r="33" spans="1:8">
      <c r="A33" s="378"/>
      <c r="B33" s="378"/>
      <c r="C33" s="378"/>
      <c r="D33" s="378"/>
      <c r="E33" s="378"/>
      <c r="F33" s="378"/>
      <c r="G33" s="378"/>
      <c r="H33" s="378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20"/>
  <sheetViews>
    <sheetView workbookViewId="0">
      <selection activeCell="D14" sqref="D1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44</v>
      </c>
      <c r="C3" s="110"/>
      <c r="H3" s="194" t="s">
        <v>106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132564</v>
      </c>
      <c r="E8" s="17"/>
      <c r="F8" s="17"/>
      <c r="G8" s="18">
        <v>3153</v>
      </c>
      <c r="H8" s="19"/>
      <c r="I8" s="20"/>
      <c r="J8" s="21">
        <f t="shared" ref="J8:J14" si="0">SUM(D8:H8)</f>
        <v>135717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14750</v>
      </c>
      <c r="E10" s="23"/>
      <c r="F10" s="23"/>
      <c r="G10" s="24"/>
      <c r="H10" s="25"/>
      <c r="I10" s="20"/>
      <c r="J10" s="26">
        <f t="shared" si="0"/>
        <v>14750</v>
      </c>
    </row>
    <row r="11" spans="1:10">
      <c r="A11" s="8"/>
      <c r="B11" s="647"/>
      <c r="C11" s="87" t="s">
        <v>13</v>
      </c>
      <c r="D11" s="22">
        <v>11380</v>
      </c>
      <c r="E11" s="23"/>
      <c r="F11" s="23"/>
      <c r="G11" s="24">
        <v>2397</v>
      </c>
      <c r="H11" s="25"/>
      <c r="I11" s="20"/>
      <c r="J11" s="26">
        <f t="shared" si="0"/>
        <v>13777</v>
      </c>
    </row>
    <row r="12" spans="1:10">
      <c r="A12" s="8"/>
      <c r="B12" s="647"/>
      <c r="C12" s="87" t="s">
        <v>14</v>
      </c>
      <c r="D12" s="22">
        <v>1800</v>
      </c>
      <c r="E12" s="23"/>
      <c r="F12" s="23"/>
      <c r="G12" s="24"/>
      <c r="H12" s="25"/>
      <c r="I12" s="20"/>
      <c r="J12" s="26">
        <f t="shared" si="0"/>
        <v>1800</v>
      </c>
    </row>
    <row r="13" spans="1:10">
      <c r="A13" s="8"/>
      <c r="B13" s="647"/>
      <c r="C13" s="88" t="s">
        <v>15</v>
      </c>
      <c r="D13" s="27">
        <f>SUM(D10:D12)</f>
        <v>27930</v>
      </c>
      <c r="E13" s="23">
        <f>SUM(E10:E12)</f>
        <v>0</v>
      </c>
      <c r="F13" s="23">
        <f>SUM(F10:F12)</f>
        <v>0</v>
      </c>
      <c r="G13" s="23">
        <f>SUM(G10:G12)</f>
        <v>2397</v>
      </c>
      <c r="H13" s="28">
        <f>SUM(H10:H12)</f>
        <v>0</v>
      </c>
      <c r="I13" s="20"/>
      <c r="J13" s="26">
        <f t="shared" si="0"/>
        <v>30327</v>
      </c>
    </row>
    <row r="14" spans="1:10" ht="31" thickBot="1">
      <c r="A14" s="8"/>
      <c r="B14" s="104" t="s">
        <v>18</v>
      </c>
      <c r="C14" s="105"/>
      <c r="D14" s="29">
        <v>132564</v>
      </c>
      <c r="E14" s="30"/>
      <c r="F14" s="30"/>
      <c r="G14" s="31">
        <v>3153</v>
      </c>
      <c r="H14" s="32"/>
      <c r="I14" s="20"/>
      <c r="J14" s="33">
        <f t="shared" si="0"/>
        <v>135717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293058</v>
      </c>
      <c r="E16" s="36">
        <f>E8+E9+E13+E14</f>
        <v>0</v>
      </c>
      <c r="F16" s="36">
        <f>F8+F9+F13+F14</f>
        <v>0</v>
      </c>
      <c r="G16" s="36">
        <f>G8+G9+G13+G14</f>
        <v>8703</v>
      </c>
      <c r="H16" s="37">
        <f>H8+H9+H13+H14</f>
        <v>0</v>
      </c>
      <c r="I16" s="20"/>
      <c r="J16" s="21">
        <f>J8+J9+J13+J14</f>
        <v>301761</v>
      </c>
    </row>
    <row r="17" spans="1:11" ht="31" thickBot="1">
      <c r="A17" s="8"/>
      <c r="B17" s="108" t="s">
        <v>11</v>
      </c>
      <c r="C17" s="109"/>
      <c r="D17" s="38">
        <f>D16*75%</f>
        <v>219793.5</v>
      </c>
      <c r="E17" s="39">
        <f>E16*50%</f>
        <v>0</v>
      </c>
      <c r="F17" s="39">
        <f>F16*100%</f>
        <v>0</v>
      </c>
      <c r="G17" s="39">
        <f>G16*100%</f>
        <v>8703</v>
      </c>
      <c r="H17" s="40">
        <f>H16*100%</f>
        <v>0</v>
      </c>
      <c r="I17" s="20"/>
      <c r="J17" s="33">
        <f>SUM(D17:H17)</f>
        <v>228496.5</v>
      </c>
      <c r="K17" t="s">
        <v>107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22"/>
  <sheetViews>
    <sheetView workbookViewId="0">
      <selection activeCell="D14" sqref="D14"/>
    </sheetView>
  </sheetViews>
  <sheetFormatPr baseColWidth="10" defaultRowHeight="15" x14ac:dyDescent="0"/>
  <cols>
    <col min="1" max="1" width="16.1640625" customWidth="1"/>
    <col min="2" max="2" width="16.33203125" customWidth="1"/>
    <col min="3" max="3" width="12" bestFit="1" customWidth="1"/>
    <col min="4" max="4" width="16.1640625" customWidth="1"/>
    <col min="5" max="5" width="14.6640625" customWidth="1"/>
    <col min="7" max="7" width="14.33203125" customWidth="1"/>
    <col min="8" max="8" width="14.5" customWidth="1"/>
    <col min="9" max="9" width="3.83203125" customWidth="1"/>
  </cols>
  <sheetData>
    <row r="1" spans="1:10" ht="16">
      <c r="A1" s="1" t="s">
        <v>0</v>
      </c>
      <c r="B1" s="2"/>
      <c r="C1" s="2"/>
      <c r="D1" s="3"/>
      <c r="E1" s="3"/>
      <c r="F1" s="3"/>
      <c r="G1" s="3"/>
      <c r="H1" s="3"/>
      <c r="I1" s="14"/>
      <c r="J1" s="2"/>
    </row>
    <row r="2" spans="1:10" ht="16">
      <c r="A2" s="1" t="s">
        <v>1</v>
      </c>
      <c r="B2" s="2"/>
      <c r="C2" s="2"/>
      <c r="D2" s="3"/>
      <c r="E2" s="3"/>
      <c r="F2" s="3"/>
      <c r="G2" s="3"/>
      <c r="H2" s="3"/>
      <c r="I2" s="14"/>
      <c r="J2" s="2"/>
    </row>
    <row r="3" spans="1:10" ht="16">
      <c r="A3" s="6" t="s">
        <v>23</v>
      </c>
      <c r="B3" s="7" t="s">
        <v>45</v>
      </c>
      <c r="C3" s="110"/>
      <c r="D3" s="3" t="s">
        <v>98</v>
      </c>
      <c r="E3" s="3"/>
      <c r="F3" s="3"/>
      <c r="G3" s="3"/>
      <c r="H3" s="194" t="s">
        <v>167</v>
      </c>
      <c r="I3" s="14"/>
      <c r="J3" s="2"/>
    </row>
    <row r="5" spans="1:10">
      <c r="A5" s="49"/>
      <c r="B5" s="50"/>
      <c r="C5" s="50"/>
      <c r="D5" s="51"/>
      <c r="E5" s="51"/>
      <c r="F5" s="51"/>
      <c r="G5" s="51"/>
      <c r="H5" s="51"/>
      <c r="I5" s="52"/>
      <c r="J5" s="53"/>
    </row>
    <row r="6" spans="1:10" ht="30">
      <c r="A6" s="50"/>
      <c r="B6" s="50"/>
      <c r="C6" s="50"/>
      <c r="D6" s="54" t="s">
        <v>8</v>
      </c>
      <c r="E6" s="54" t="s">
        <v>2</v>
      </c>
      <c r="F6" s="54" t="s">
        <v>3</v>
      </c>
      <c r="G6" s="54" t="s">
        <v>9</v>
      </c>
      <c r="H6" s="54" t="s">
        <v>10</v>
      </c>
      <c r="I6" s="52"/>
      <c r="J6" s="55" t="s">
        <v>7</v>
      </c>
    </row>
    <row r="7" spans="1:10" ht="16" thickBot="1">
      <c r="A7" s="50"/>
      <c r="B7" s="50"/>
      <c r="C7" s="50"/>
      <c r="D7" s="55"/>
      <c r="E7" s="55"/>
      <c r="F7" s="55"/>
      <c r="G7" s="55"/>
      <c r="H7" s="55"/>
      <c r="I7" s="52"/>
      <c r="J7" s="53"/>
    </row>
    <row r="8" spans="1:10">
      <c r="A8" s="50"/>
      <c r="B8" s="96" t="s">
        <v>5</v>
      </c>
      <c r="C8" s="97"/>
      <c r="D8" s="58">
        <v>92947</v>
      </c>
      <c r="E8" s="59"/>
      <c r="F8" s="59"/>
      <c r="G8" s="60">
        <v>3100</v>
      </c>
      <c r="H8" s="61"/>
      <c r="I8" s="62"/>
      <c r="J8" s="63">
        <f t="shared" ref="J8:J14" si="0">SUM(D8:H8)</f>
        <v>96047</v>
      </c>
    </row>
    <row r="9" spans="1:10">
      <c r="A9" s="50"/>
      <c r="B9" s="98" t="s">
        <v>4</v>
      </c>
      <c r="C9" s="89"/>
      <c r="D9" s="64"/>
      <c r="E9" s="65"/>
      <c r="F9" s="65"/>
      <c r="G9" s="66"/>
      <c r="H9" s="67"/>
      <c r="I9" s="62"/>
      <c r="J9" s="68">
        <f t="shared" si="0"/>
        <v>0</v>
      </c>
    </row>
    <row r="10" spans="1:10">
      <c r="A10" s="50"/>
      <c r="B10" s="654" t="s">
        <v>19</v>
      </c>
      <c r="C10" s="90" t="s">
        <v>12</v>
      </c>
      <c r="D10" s="64">
        <v>72285</v>
      </c>
      <c r="E10" s="65"/>
      <c r="F10" s="65"/>
      <c r="G10" s="66"/>
      <c r="H10" s="67"/>
      <c r="I10" s="62"/>
      <c r="J10" s="68">
        <f t="shared" si="0"/>
        <v>72285</v>
      </c>
    </row>
    <row r="11" spans="1:10">
      <c r="A11" s="50"/>
      <c r="B11" s="655"/>
      <c r="C11" s="90" t="s">
        <v>13</v>
      </c>
      <c r="D11" s="64">
        <v>17990</v>
      </c>
      <c r="E11" s="65"/>
      <c r="F11" s="65"/>
      <c r="G11" s="66">
        <v>4780</v>
      </c>
      <c r="H11" s="67"/>
      <c r="I11" s="62"/>
      <c r="J11" s="68">
        <f t="shared" si="0"/>
        <v>22770</v>
      </c>
    </row>
    <row r="12" spans="1:10">
      <c r="A12" s="50"/>
      <c r="B12" s="655"/>
      <c r="C12" s="90" t="s">
        <v>14</v>
      </c>
      <c r="D12" s="64"/>
      <c r="E12" s="65"/>
      <c r="F12" s="65"/>
      <c r="G12" s="66"/>
      <c r="H12" s="67"/>
      <c r="I12" s="62"/>
      <c r="J12" s="68">
        <f t="shared" si="0"/>
        <v>0</v>
      </c>
    </row>
    <row r="13" spans="1:10">
      <c r="A13" s="50"/>
      <c r="B13" s="655"/>
      <c r="C13" s="91" t="s">
        <v>15</v>
      </c>
      <c r="D13" s="69">
        <f>SUM(D10:D12)</f>
        <v>90275</v>
      </c>
      <c r="E13" s="65">
        <f>SUM(E10:E12)</f>
        <v>0</v>
      </c>
      <c r="F13" s="65">
        <f>SUM(F10:F12)</f>
        <v>0</v>
      </c>
      <c r="G13" s="65">
        <f>SUM(G10:G12)</f>
        <v>4780</v>
      </c>
      <c r="H13" s="70">
        <f>SUM(H10:H12)</f>
        <v>0</v>
      </c>
      <c r="I13" s="62"/>
      <c r="J13" s="68">
        <f t="shared" si="0"/>
        <v>95055</v>
      </c>
    </row>
    <row r="14" spans="1:10" ht="31" thickBot="1">
      <c r="A14" s="50"/>
      <c r="B14" s="99" t="s">
        <v>18</v>
      </c>
      <c r="C14" s="100"/>
      <c r="D14" s="71">
        <f>D8*56%</f>
        <v>52050.320000000007</v>
      </c>
      <c r="E14" s="72"/>
      <c r="F14" s="72"/>
      <c r="G14" s="71">
        <f>G8*56%</f>
        <v>1736.0000000000002</v>
      </c>
      <c r="H14" s="74"/>
      <c r="I14" s="62"/>
      <c r="J14" s="75">
        <f t="shared" si="0"/>
        <v>53786.320000000007</v>
      </c>
    </row>
    <row r="15" spans="1:10" ht="16" thickBot="1">
      <c r="A15" s="50"/>
      <c r="B15" s="56"/>
      <c r="C15" s="57"/>
      <c r="D15" s="76"/>
      <c r="E15" s="76"/>
      <c r="F15" s="76"/>
      <c r="G15" s="76"/>
      <c r="H15" s="76"/>
      <c r="I15" s="62"/>
      <c r="J15" s="62"/>
    </row>
    <row r="16" spans="1:10">
      <c r="A16" s="50"/>
      <c r="B16" s="92" t="s">
        <v>6</v>
      </c>
      <c r="C16" s="93"/>
      <c r="D16" s="77">
        <f>D8+D9+D13+D14</f>
        <v>235272.32000000001</v>
      </c>
      <c r="E16" s="78">
        <f>E8+E9+E13+E14</f>
        <v>0</v>
      </c>
      <c r="F16" s="78">
        <f>F8+F9+F13+F14</f>
        <v>0</v>
      </c>
      <c r="G16" s="78">
        <f>G8+G9+G13+G14</f>
        <v>9616</v>
      </c>
      <c r="H16" s="79">
        <f>H8+H9+H13+H14</f>
        <v>0</v>
      </c>
      <c r="I16" s="62"/>
      <c r="J16" s="63">
        <f>J8+J9+J13+J14</f>
        <v>244888.32000000001</v>
      </c>
    </row>
    <row r="17" spans="1:10" ht="31" thickBot="1">
      <c r="A17" s="50"/>
      <c r="B17" s="94" t="s">
        <v>11</v>
      </c>
      <c r="C17" s="95"/>
      <c r="D17" s="80">
        <f>D16*50%</f>
        <v>117636.16</v>
      </c>
      <c r="E17" s="81">
        <f>E16*50%</f>
        <v>0</v>
      </c>
      <c r="F17" s="81">
        <f>F16*100%</f>
        <v>0</v>
      </c>
      <c r="G17" s="81">
        <f>G16*100%</f>
        <v>9616</v>
      </c>
      <c r="H17" s="82">
        <f>H16*100%</f>
        <v>0</v>
      </c>
      <c r="I17" s="62"/>
      <c r="J17" s="75">
        <f>SUM(D17:H17)</f>
        <v>127252.16</v>
      </c>
    </row>
    <row r="18" spans="1:10">
      <c r="A18" s="83" t="s">
        <v>20</v>
      </c>
      <c r="B18" s="50"/>
      <c r="C18" s="50"/>
      <c r="D18" s="84"/>
      <c r="E18" s="84"/>
      <c r="F18" s="84"/>
      <c r="G18" s="84"/>
      <c r="H18" s="84"/>
      <c r="I18" s="85"/>
      <c r="J18" s="50"/>
    </row>
    <row r="22" spans="1:10" ht="46" thickBot="1">
      <c r="B22" s="158" t="s">
        <v>97</v>
      </c>
      <c r="D22" s="155">
        <v>53493</v>
      </c>
      <c r="E22" s="156"/>
      <c r="F22" s="156"/>
      <c r="G22" s="157">
        <v>807</v>
      </c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K51"/>
  <sheetViews>
    <sheetView workbookViewId="0">
      <selection activeCell="D11" sqref="D11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1" ht="16">
      <c r="A1" s="1" t="s">
        <v>0</v>
      </c>
    </row>
    <row r="2" spans="1:11" ht="16">
      <c r="A2" s="1" t="s">
        <v>1</v>
      </c>
    </row>
    <row r="3" spans="1:11" ht="16">
      <c r="A3" s="6" t="s">
        <v>23</v>
      </c>
      <c r="B3" s="7" t="s">
        <v>51</v>
      </c>
      <c r="C3" s="110"/>
      <c r="H3" s="445">
        <v>42654</v>
      </c>
    </row>
    <row r="4" spans="1:11">
      <c r="G4" s="5"/>
      <c r="H4" s="4"/>
    </row>
    <row r="5" spans="1:11">
      <c r="A5" s="226" t="s">
        <v>201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1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1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  <c r="K7" t="s">
        <v>184</v>
      </c>
    </row>
    <row r="8" spans="1:11">
      <c r="A8" s="227"/>
      <c r="B8" s="454" t="s">
        <v>5</v>
      </c>
      <c r="C8" s="455"/>
      <c r="D8" s="234">
        <v>135000</v>
      </c>
      <c r="E8" s="235"/>
      <c r="F8" s="235"/>
      <c r="G8" s="236">
        <v>1000</v>
      </c>
      <c r="H8" s="237"/>
      <c r="I8" s="238"/>
      <c r="J8" s="239">
        <f t="shared" ref="J8:J14" si="0">SUM(D8:H8)</f>
        <v>136000</v>
      </c>
      <c r="K8" s="446">
        <f>D8-D24</f>
        <v>5000</v>
      </c>
    </row>
    <row r="9" spans="1:11">
      <c r="A9" s="227"/>
      <c r="B9" s="456" t="s">
        <v>4</v>
      </c>
      <c r="C9" s="457"/>
      <c r="D9" s="242"/>
      <c r="E9" s="243"/>
      <c r="F9" s="243"/>
      <c r="G9" s="244"/>
      <c r="H9" s="245"/>
      <c r="I9" s="238"/>
      <c r="J9" s="246">
        <f t="shared" si="0"/>
        <v>0</v>
      </c>
    </row>
    <row r="10" spans="1:11">
      <c r="A10" s="227"/>
      <c r="B10" s="644" t="s">
        <v>19</v>
      </c>
      <c r="C10" s="458" t="s">
        <v>12</v>
      </c>
      <c r="D10" s="242">
        <v>127884</v>
      </c>
      <c r="E10" s="243"/>
      <c r="F10" s="243"/>
      <c r="G10" s="244"/>
      <c r="H10" s="245"/>
      <c r="I10" s="238"/>
      <c r="J10" s="246">
        <f t="shared" si="0"/>
        <v>127884</v>
      </c>
      <c r="K10" s="446">
        <f>D10-D26</f>
        <v>3050</v>
      </c>
    </row>
    <row r="11" spans="1:11">
      <c r="A11" s="227"/>
      <c r="B11" s="645"/>
      <c r="C11" s="458" t="s">
        <v>13</v>
      </c>
      <c r="D11" s="242">
        <v>4500</v>
      </c>
      <c r="E11" s="243"/>
      <c r="F11" s="243"/>
      <c r="G11" s="244">
        <v>4625</v>
      </c>
      <c r="H11" s="245"/>
      <c r="I11" s="238"/>
      <c r="J11" s="246">
        <f t="shared" si="0"/>
        <v>9125</v>
      </c>
    </row>
    <row r="12" spans="1:11">
      <c r="A12" s="227"/>
      <c r="B12" s="645"/>
      <c r="C12" s="458" t="s">
        <v>14</v>
      </c>
      <c r="D12" s="242">
        <v>9833</v>
      </c>
      <c r="E12" s="243"/>
      <c r="F12" s="243"/>
      <c r="G12" s="244"/>
      <c r="H12" s="245"/>
      <c r="I12" s="238"/>
      <c r="J12" s="246">
        <f t="shared" si="0"/>
        <v>9833</v>
      </c>
    </row>
    <row r="13" spans="1:11">
      <c r="A13" s="227"/>
      <c r="B13" s="645"/>
      <c r="C13" s="459" t="s">
        <v>15</v>
      </c>
      <c r="D13" s="249">
        <f>SUM(D10:D12)</f>
        <v>142217</v>
      </c>
      <c r="E13" s="243">
        <f>SUM(E10:E12)</f>
        <v>0</v>
      </c>
      <c r="F13" s="243">
        <f>SUM(F10:F12)</f>
        <v>0</v>
      </c>
      <c r="G13" s="243">
        <f>SUM(G10:G12)</f>
        <v>4625</v>
      </c>
      <c r="H13" s="250">
        <f>SUM(H10:H12)</f>
        <v>0</v>
      </c>
      <c r="I13" s="238"/>
      <c r="J13" s="246">
        <f t="shared" si="0"/>
        <v>146842</v>
      </c>
    </row>
    <row r="14" spans="1:11" ht="31" thickBot="1">
      <c r="A14" s="227"/>
      <c r="B14" s="460" t="s">
        <v>18</v>
      </c>
      <c r="C14" s="461" t="s">
        <v>129</v>
      </c>
      <c r="D14" s="462">
        <f>60%*(D8+D13)</f>
        <v>166330.19999999998</v>
      </c>
      <c r="E14" s="254"/>
      <c r="F14" s="254"/>
      <c r="G14" s="462">
        <f>60%*(G8+G13)</f>
        <v>3375</v>
      </c>
      <c r="H14" s="255"/>
      <c r="I14" s="238"/>
      <c r="J14" s="256">
        <f t="shared" si="0"/>
        <v>169705.19999999998</v>
      </c>
    </row>
    <row r="15" spans="1:11" ht="16" thickBot="1">
      <c r="A15" s="227"/>
      <c r="B15" s="463"/>
      <c r="C15" s="464"/>
      <c r="D15" s="259"/>
      <c r="E15" s="259"/>
      <c r="F15" s="259"/>
      <c r="G15" s="259"/>
      <c r="H15" s="259"/>
      <c r="I15" s="238"/>
      <c r="J15" s="238"/>
    </row>
    <row r="16" spans="1:11">
      <c r="A16" s="227"/>
      <c r="B16" s="465" t="s">
        <v>6</v>
      </c>
      <c r="C16" s="466"/>
      <c r="D16" s="262">
        <f>D8+D9+D13+D14</f>
        <v>443547.19999999995</v>
      </c>
      <c r="E16" s="263">
        <f>E8+E9+E13+E14</f>
        <v>0</v>
      </c>
      <c r="F16" s="263">
        <f>F8+F9+F13+F14</f>
        <v>0</v>
      </c>
      <c r="G16" s="263">
        <f>G8+G9+G13+G14</f>
        <v>9000</v>
      </c>
      <c r="H16" s="264">
        <f>H8+H9+H13+H14</f>
        <v>0</v>
      </c>
      <c r="I16" s="238"/>
      <c r="J16" s="239">
        <f>J8+J9+J13+J14</f>
        <v>452547.19999999995</v>
      </c>
      <c r="K16" s="446">
        <f>J16-J32</f>
        <v>12880</v>
      </c>
    </row>
    <row r="17" spans="1:11" ht="31" thickBot="1">
      <c r="A17" s="227"/>
      <c r="B17" s="467" t="s">
        <v>11</v>
      </c>
      <c r="C17" s="468"/>
      <c r="D17" s="267">
        <f>D16*75%</f>
        <v>332660.39999999997</v>
      </c>
      <c r="E17" s="268">
        <f>E16*50%</f>
        <v>0</v>
      </c>
      <c r="F17" s="268">
        <f>F16*100%</f>
        <v>0</v>
      </c>
      <c r="G17" s="268">
        <f>G16*100%</f>
        <v>9000</v>
      </c>
      <c r="H17" s="269">
        <f>H16*100%</f>
        <v>0</v>
      </c>
      <c r="I17" s="238"/>
      <c r="J17" s="256">
        <f>SUM(D17:H17)</f>
        <v>341660.39999999997</v>
      </c>
      <c r="K17" s="446">
        <f>J17-J33</f>
        <v>9660</v>
      </c>
    </row>
    <row r="18" spans="1:11">
      <c r="A18" s="270" t="s">
        <v>20</v>
      </c>
      <c r="B18" s="270"/>
      <c r="C18" s="227"/>
      <c r="D18" s="271"/>
      <c r="E18" s="271"/>
      <c r="F18" s="271"/>
      <c r="G18" s="271"/>
      <c r="H18" s="271"/>
      <c r="I18" s="272"/>
      <c r="J18" s="273"/>
    </row>
    <row r="19" spans="1:11">
      <c r="D19" s="44"/>
      <c r="E19" s="44"/>
      <c r="F19" s="44"/>
      <c r="G19" s="44"/>
      <c r="H19" s="44"/>
      <c r="I19" s="45"/>
      <c r="J19" s="46"/>
    </row>
    <row r="21" spans="1:11">
      <c r="A21" s="226" t="s">
        <v>186</v>
      </c>
      <c r="B21" s="227"/>
      <c r="C21" s="227"/>
      <c r="D21" s="228"/>
      <c r="E21" s="228"/>
      <c r="F21" s="228"/>
      <c r="G21" s="228"/>
      <c r="H21" s="228"/>
      <c r="I21" s="229"/>
      <c r="J21" s="227"/>
    </row>
    <row r="22" spans="1:11" ht="30">
      <c r="A22" s="227"/>
      <c r="B22" s="227"/>
      <c r="C22" s="227"/>
      <c r="D22" s="230" t="s">
        <v>8</v>
      </c>
      <c r="E22" s="230" t="s">
        <v>2</v>
      </c>
      <c r="F22" s="230" t="s">
        <v>3</v>
      </c>
      <c r="G22" s="230" t="s">
        <v>9</v>
      </c>
      <c r="H22" s="230" t="s">
        <v>10</v>
      </c>
      <c r="I22" s="229"/>
      <c r="J22" s="231" t="s">
        <v>7</v>
      </c>
    </row>
    <row r="23" spans="1:11" ht="16" thickBot="1">
      <c r="A23" s="227"/>
      <c r="B23" s="227"/>
      <c r="C23" s="227"/>
      <c r="D23" s="231"/>
      <c r="E23" s="231"/>
      <c r="F23" s="231"/>
      <c r="G23" s="231"/>
      <c r="H23" s="231"/>
      <c r="I23" s="229"/>
      <c r="J23" s="227"/>
      <c r="K23" t="s">
        <v>184</v>
      </c>
    </row>
    <row r="24" spans="1:11">
      <c r="A24" s="227"/>
      <c r="B24" s="454" t="s">
        <v>5</v>
      </c>
      <c r="C24" s="455"/>
      <c r="D24" s="234">
        <v>130000</v>
      </c>
      <c r="E24" s="235"/>
      <c r="F24" s="235"/>
      <c r="G24" s="236">
        <v>1000</v>
      </c>
      <c r="H24" s="237"/>
      <c r="I24" s="238"/>
      <c r="J24" s="239">
        <f t="shared" ref="J24:J30" si="1">SUM(D24:H24)</f>
        <v>131000</v>
      </c>
      <c r="K24" s="446">
        <f>D24-D40</f>
        <v>40500</v>
      </c>
    </row>
    <row r="25" spans="1:11">
      <c r="A25" s="227"/>
      <c r="B25" s="481" t="s">
        <v>4</v>
      </c>
      <c r="C25" s="457"/>
      <c r="D25" s="242"/>
      <c r="E25" s="243"/>
      <c r="F25" s="243"/>
      <c r="G25" s="244"/>
      <c r="H25" s="245"/>
      <c r="I25" s="238"/>
      <c r="J25" s="246">
        <f t="shared" si="1"/>
        <v>0</v>
      </c>
    </row>
    <row r="26" spans="1:11" ht="15" customHeight="1">
      <c r="A26" s="227"/>
      <c r="B26" s="644" t="s">
        <v>19</v>
      </c>
      <c r="C26" s="458" t="s">
        <v>12</v>
      </c>
      <c r="D26" s="242">
        <v>124834</v>
      </c>
      <c r="E26" s="243"/>
      <c r="F26" s="243"/>
      <c r="G26" s="244"/>
      <c r="H26" s="245"/>
      <c r="I26" s="238"/>
      <c r="J26" s="246">
        <f t="shared" si="1"/>
        <v>124834</v>
      </c>
      <c r="K26" s="446">
        <f>D26-D42</f>
        <v>44500</v>
      </c>
    </row>
    <row r="27" spans="1:11">
      <c r="A27" s="227"/>
      <c r="B27" s="645"/>
      <c r="C27" s="458" t="s">
        <v>13</v>
      </c>
      <c r="D27" s="242">
        <v>4500</v>
      </c>
      <c r="E27" s="243"/>
      <c r="F27" s="243"/>
      <c r="G27" s="244">
        <v>4625</v>
      </c>
      <c r="H27" s="245"/>
      <c r="I27" s="238"/>
      <c r="J27" s="246">
        <f t="shared" si="1"/>
        <v>9125</v>
      </c>
    </row>
    <row r="28" spans="1:11">
      <c r="A28" s="227"/>
      <c r="B28" s="645"/>
      <c r="C28" s="458" t="s">
        <v>14</v>
      </c>
      <c r="D28" s="242">
        <v>9833</v>
      </c>
      <c r="E28" s="243"/>
      <c r="F28" s="243"/>
      <c r="G28" s="244"/>
      <c r="H28" s="245"/>
      <c r="I28" s="238"/>
      <c r="J28" s="246">
        <f t="shared" si="1"/>
        <v>9833</v>
      </c>
    </row>
    <row r="29" spans="1:11">
      <c r="A29" s="227"/>
      <c r="B29" s="645"/>
      <c r="C29" s="459" t="s">
        <v>15</v>
      </c>
      <c r="D29" s="249">
        <f>SUM(D26:D28)</f>
        <v>139167</v>
      </c>
      <c r="E29" s="243">
        <f>SUM(E26:E28)</f>
        <v>0</v>
      </c>
      <c r="F29" s="243">
        <f>SUM(F26:F28)</f>
        <v>0</v>
      </c>
      <c r="G29" s="243">
        <f>SUM(G26:G28)</f>
        <v>4625</v>
      </c>
      <c r="H29" s="250">
        <f>SUM(H26:H28)</f>
        <v>0</v>
      </c>
      <c r="I29" s="238"/>
      <c r="J29" s="246">
        <f t="shared" si="1"/>
        <v>143792</v>
      </c>
    </row>
    <row r="30" spans="1:11" ht="31" thickBot="1">
      <c r="A30" s="227"/>
      <c r="B30" s="460" t="s">
        <v>18</v>
      </c>
      <c r="C30" s="461" t="s">
        <v>129</v>
      </c>
      <c r="D30" s="462">
        <f>60%*(D24+D29)</f>
        <v>161500.19999999998</v>
      </c>
      <c r="E30" s="254"/>
      <c r="F30" s="254"/>
      <c r="G30" s="462">
        <f>60%*(G24+G29)</f>
        <v>3375</v>
      </c>
      <c r="H30" s="255"/>
      <c r="I30" s="238"/>
      <c r="J30" s="256">
        <f t="shared" si="1"/>
        <v>164875.19999999998</v>
      </c>
    </row>
    <row r="31" spans="1:11" ht="16" thickBot="1">
      <c r="A31" s="227"/>
      <c r="B31" s="463"/>
      <c r="C31" s="464"/>
      <c r="D31" s="259"/>
      <c r="E31" s="259"/>
      <c r="F31" s="259"/>
      <c r="G31" s="259"/>
      <c r="H31" s="259"/>
      <c r="I31" s="238"/>
      <c r="J31" s="238"/>
    </row>
    <row r="32" spans="1:11">
      <c r="A32" s="227"/>
      <c r="B32" s="465" t="s">
        <v>6</v>
      </c>
      <c r="C32" s="466"/>
      <c r="D32" s="262">
        <f>D24+D25+D29+D30</f>
        <v>430667.19999999995</v>
      </c>
      <c r="E32" s="263">
        <f>E24+E25+E29+E30</f>
        <v>0</v>
      </c>
      <c r="F32" s="263">
        <f>F24+F25+F29+F30</f>
        <v>0</v>
      </c>
      <c r="G32" s="263">
        <f>G24+G25+G29+G30</f>
        <v>9000</v>
      </c>
      <c r="H32" s="264">
        <f>H24+H25+H29+H30</f>
        <v>0</v>
      </c>
      <c r="I32" s="238"/>
      <c r="J32" s="239">
        <f>J24+J25+J29+J30</f>
        <v>439667.19999999995</v>
      </c>
      <c r="K32" s="446">
        <f>J32-J48</f>
        <v>120000.19999999995</v>
      </c>
    </row>
    <row r="33" spans="1:11" ht="31" thickBot="1">
      <c r="A33" s="227"/>
      <c r="B33" s="467" t="s">
        <v>11</v>
      </c>
      <c r="C33" s="468"/>
      <c r="D33" s="267">
        <f>D32*75%</f>
        <v>323000.39999999997</v>
      </c>
      <c r="E33" s="268">
        <f>E32*50%</f>
        <v>0</v>
      </c>
      <c r="F33" s="268">
        <f>F32*100%</f>
        <v>0</v>
      </c>
      <c r="G33" s="268">
        <f>G32*100%</f>
        <v>9000</v>
      </c>
      <c r="H33" s="269">
        <f>H32*100%</f>
        <v>0</v>
      </c>
      <c r="I33" s="238"/>
      <c r="J33" s="256">
        <f>SUM(D33:H33)</f>
        <v>332000.39999999997</v>
      </c>
      <c r="K33" s="446">
        <f>J33-J49</f>
        <v>90000.399999999965</v>
      </c>
    </row>
    <row r="34" spans="1:11">
      <c r="A34" s="270" t="s">
        <v>20</v>
      </c>
      <c r="B34" s="270"/>
      <c r="C34" s="227"/>
      <c r="D34" s="271"/>
      <c r="E34" s="271"/>
      <c r="F34" s="271"/>
      <c r="G34" s="271"/>
      <c r="H34" s="271"/>
      <c r="I34" s="272"/>
      <c r="J34" s="273"/>
    </row>
    <row r="35" spans="1:11">
      <c r="D35" s="44"/>
      <c r="E35" s="44"/>
      <c r="F35" s="44"/>
      <c r="G35" s="44"/>
      <c r="H35" s="44"/>
      <c r="I35" s="45"/>
      <c r="J35" s="46"/>
    </row>
    <row r="37" spans="1:11">
      <c r="A37" s="205" t="s">
        <v>179</v>
      </c>
      <c r="B37" s="206"/>
      <c r="C37" s="206"/>
      <c r="D37" s="207"/>
      <c r="E37" s="207"/>
      <c r="F37" s="207"/>
      <c r="G37" s="207"/>
      <c r="H37" s="207"/>
      <c r="I37" s="206"/>
      <c r="J37" s="206"/>
      <c r="K37" s="451"/>
    </row>
    <row r="38" spans="1:11" ht="30">
      <c r="A38" s="206"/>
      <c r="B38" s="206"/>
      <c r="C38" s="206"/>
      <c r="D38" s="208" t="s">
        <v>8</v>
      </c>
      <c r="E38" s="208" t="s">
        <v>2</v>
      </c>
      <c r="F38" s="208" t="s">
        <v>3</v>
      </c>
      <c r="G38" s="208" t="s">
        <v>9</v>
      </c>
      <c r="H38" s="208" t="s">
        <v>10</v>
      </c>
      <c r="I38" s="206"/>
      <c r="J38" s="209" t="s">
        <v>7</v>
      </c>
      <c r="K38" s="451"/>
    </row>
    <row r="39" spans="1:11" ht="16" thickBot="1">
      <c r="A39" s="206"/>
      <c r="B39" s="206"/>
      <c r="C39" s="206"/>
      <c r="D39" s="209"/>
      <c r="E39" s="209"/>
      <c r="F39" s="209"/>
      <c r="G39" s="209"/>
      <c r="H39" s="209"/>
      <c r="I39" s="206"/>
      <c r="J39" s="206"/>
      <c r="K39" s="451"/>
    </row>
    <row r="40" spans="1:11">
      <c r="A40" s="206"/>
      <c r="B40" s="210" t="s">
        <v>5</v>
      </c>
      <c r="C40" s="221"/>
      <c r="D40" s="419">
        <v>89500</v>
      </c>
      <c r="E40" s="420"/>
      <c r="F40" s="420"/>
      <c r="G40" s="419">
        <v>1000</v>
      </c>
      <c r="H40" s="421"/>
      <c r="I40" s="422"/>
      <c r="J40" s="423">
        <v>90500</v>
      </c>
      <c r="K40" s="451"/>
    </row>
    <row r="41" spans="1:11">
      <c r="A41" s="206"/>
      <c r="B41" s="485" t="s">
        <v>4</v>
      </c>
      <c r="C41" s="424"/>
      <c r="D41" s="425"/>
      <c r="E41" s="426"/>
      <c r="F41" s="426"/>
      <c r="G41" s="425"/>
      <c r="H41" s="427"/>
      <c r="I41" s="422"/>
      <c r="J41" s="428">
        <v>0</v>
      </c>
      <c r="K41" s="451"/>
    </row>
    <row r="42" spans="1:11" ht="30">
      <c r="A42" s="206"/>
      <c r="B42" s="483" t="s">
        <v>19</v>
      </c>
      <c r="C42" s="429" t="s">
        <v>12</v>
      </c>
      <c r="D42" s="425">
        <v>80334</v>
      </c>
      <c r="E42" s="426"/>
      <c r="F42" s="426"/>
      <c r="G42" s="425"/>
      <c r="H42" s="427"/>
      <c r="I42" s="422"/>
      <c r="J42" s="428">
        <v>80334</v>
      </c>
      <c r="K42" s="451"/>
    </row>
    <row r="43" spans="1:11">
      <c r="A43" s="206"/>
      <c r="B43" s="484"/>
      <c r="C43" s="429" t="s">
        <v>13</v>
      </c>
      <c r="D43" s="425">
        <v>4500</v>
      </c>
      <c r="E43" s="426"/>
      <c r="F43" s="426"/>
      <c r="G43" s="425">
        <v>4625</v>
      </c>
      <c r="H43" s="427"/>
      <c r="I43" s="422"/>
      <c r="J43" s="428">
        <v>9125</v>
      </c>
      <c r="K43" s="451"/>
    </row>
    <row r="44" spans="1:11">
      <c r="A44" s="206"/>
      <c r="B44" s="484"/>
      <c r="C44" s="429" t="s">
        <v>14</v>
      </c>
      <c r="D44" s="425">
        <v>19833</v>
      </c>
      <c r="E44" s="426"/>
      <c r="F44" s="426"/>
      <c r="G44" s="425"/>
      <c r="H44" s="427"/>
      <c r="I44" s="422"/>
      <c r="J44" s="428">
        <v>19833</v>
      </c>
      <c r="K44" s="451"/>
    </row>
    <row r="45" spans="1:11">
      <c r="A45" s="206"/>
      <c r="B45" s="485"/>
      <c r="C45" s="430" t="s">
        <v>15</v>
      </c>
      <c r="D45" s="426">
        <v>104667</v>
      </c>
      <c r="E45" s="426">
        <v>0</v>
      </c>
      <c r="F45" s="426">
        <v>0</v>
      </c>
      <c r="G45" s="426">
        <v>4625</v>
      </c>
      <c r="H45" s="431">
        <v>0</v>
      </c>
      <c r="I45" s="422"/>
      <c r="J45" s="428">
        <v>109292</v>
      </c>
      <c r="K45" s="451"/>
    </row>
    <row r="46" spans="1:11" ht="31" thickBot="1">
      <c r="A46" s="206"/>
      <c r="B46" s="217" t="s">
        <v>18</v>
      </c>
      <c r="C46" s="223" t="s">
        <v>129</v>
      </c>
      <c r="D46" s="432">
        <v>116500</v>
      </c>
      <c r="E46" s="433"/>
      <c r="F46" s="433"/>
      <c r="G46" s="434">
        <v>3375</v>
      </c>
      <c r="H46" s="435"/>
      <c r="I46" s="422"/>
      <c r="J46" s="436">
        <v>119875</v>
      </c>
      <c r="K46" s="451"/>
    </row>
    <row r="47" spans="1:11" ht="16" thickBot="1">
      <c r="A47" s="206"/>
      <c r="B47" s="214"/>
      <c r="C47" s="219"/>
      <c r="D47" s="422"/>
      <c r="E47" s="422"/>
      <c r="F47" s="422"/>
      <c r="G47" s="422"/>
      <c r="H47" s="422"/>
      <c r="I47" s="422"/>
      <c r="J47" s="422"/>
      <c r="K47" s="451"/>
    </row>
    <row r="48" spans="1:11">
      <c r="A48" s="206"/>
      <c r="B48" s="220" t="s">
        <v>6</v>
      </c>
      <c r="C48" s="221"/>
      <c r="D48" s="420">
        <v>310667</v>
      </c>
      <c r="E48" s="420">
        <v>0</v>
      </c>
      <c r="F48" s="420">
        <v>0</v>
      </c>
      <c r="G48" s="420">
        <v>9000</v>
      </c>
      <c r="H48" s="437">
        <v>0</v>
      </c>
      <c r="I48" s="422"/>
      <c r="J48" s="423">
        <v>319667</v>
      </c>
      <c r="K48" s="451"/>
    </row>
    <row r="49" spans="1:11" ht="31" thickBot="1">
      <c r="A49" s="206"/>
      <c r="B49" s="222" t="s">
        <v>11</v>
      </c>
      <c r="C49" s="223"/>
      <c r="D49" s="433">
        <v>233000</v>
      </c>
      <c r="E49" s="433">
        <v>0</v>
      </c>
      <c r="F49" s="433">
        <v>0</v>
      </c>
      <c r="G49" s="433">
        <v>9000</v>
      </c>
      <c r="H49" s="438">
        <v>0</v>
      </c>
      <c r="I49" s="422"/>
      <c r="J49" s="436">
        <v>242000</v>
      </c>
      <c r="K49" s="451"/>
    </row>
    <row r="50" spans="1:11">
      <c r="A50" s="224" t="s">
        <v>20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451"/>
    </row>
    <row r="51" spans="1:11">
      <c r="D51" s="340" t="s">
        <v>134</v>
      </c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47"/>
  <sheetViews>
    <sheetView workbookViewId="0">
      <selection activeCell="D17" sqref="D17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3" ht="16">
      <c r="A1" s="1" t="s">
        <v>0</v>
      </c>
    </row>
    <row r="2" spans="1:13" ht="16">
      <c r="A2" s="1" t="s">
        <v>1</v>
      </c>
    </row>
    <row r="3" spans="1:13" ht="16">
      <c r="A3" s="6" t="s">
        <v>23</v>
      </c>
      <c r="B3" s="7" t="s">
        <v>50</v>
      </c>
      <c r="C3" s="110"/>
      <c r="H3" s="445">
        <v>42654</v>
      </c>
    </row>
    <row r="4" spans="1:13">
      <c r="E4" s="354"/>
      <c r="G4" s="5"/>
      <c r="H4" s="4"/>
    </row>
    <row r="5" spans="1:13">
      <c r="A5" s="226" t="s">
        <v>197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3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3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</row>
    <row r="8" spans="1:13">
      <c r="A8" s="227"/>
      <c r="B8" s="454" t="s">
        <v>5</v>
      </c>
      <c r="C8" s="455"/>
      <c r="D8" s="234">
        <v>30193.68</v>
      </c>
      <c r="E8" s="235"/>
      <c r="F8" s="235"/>
      <c r="G8" s="236">
        <v>1056.52</v>
      </c>
      <c r="H8" s="237"/>
      <c r="I8" s="238"/>
      <c r="J8" s="239">
        <f t="shared" ref="J8:J14" si="0">SUM(D8:H8)</f>
        <v>31250.2</v>
      </c>
      <c r="L8" s="491"/>
    </row>
    <row r="9" spans="1:13">
      <c r="A9" s="227"/>
      <c r="B9" s="456" t="s">
        <v>4</v>
      </c>
      <c r="C9" s="457"/>
      <c r="D9" s="242"/>
      <c r="E9" s="243"/>
      <c r="F9" s="243"/>
      <c r="G9" s="244"/>
      <c r="H9" s="245"/>
      <c r="I9" s="238"/>
      <c r="J9" s="246">
        <f t="shared" si="0"/>
        <v>0</v>
      </c>
      <c r="L9" s="540">
        <v>75087.88</v>
      </c>
      <c r="M9" t="s">
        <v>198</v>
      </c>
    </row>
    <row r="10" spans="1:13">
      <c r="A10" s="227"/>
      <c r="B10" s="644" t="s">
        <v>19</v>
      </c>
      <c r="C10" s="458" t="s">
        <v>12</v>
      </c>
      <c r="D10" s="242">
        <v>20744.5</v>
      </c>
      <c r="E10" s="243"/>
      <c r="F10" s="243"/>
      <c r="G10" s="244"/>
      <c r="H10" s="245"/>
      <c r="I10" s="238"/>
      <c r="J10" s="246">
        <f t="shared" si="0"/>
        <v>20744.5</v>
      </c>
      <c r="M10" t="s">
        <v>199</v>
      </c>
    </row>
    <row r="11" spans="1:13">
      <c r="A11" s="227"/>
      <c r="B11" s="645"/>
      <c r="C11" s="458" t="s">
        <v>13</v>
      </c>
      <c r="D11" s="242">
        <v>2250.61</v>
      </c>
      <c r="E11" s="243"/>
      <c r="F11" s="243"/>
      <c r="G11" s="244">
        <v>675</v>
      </c>
      <c r="H11" s="245"/>
      <c r="I11" s="238"/>
      <c r="J11" s="246">
        <f t="shared" si="0"/>
        <v>2925.61</v>
      </c>
      <c r="M11" t="s">
        <v>200</v>
      </c>
    </row>
    <row r="12" spans="1:13">
      <c r="A12" s="227"/>
      <c r="B12" s="645"/>
      <c r="C12" s="458" t="s">
        <v>14</v>
      </c>
      <c r="D12" s="242">
        <v>7075.75</v>
      </c>
      <c r="E12" s="243"/>
      <c r="F12" s="243"/>
      <c r="G12" s="244"/>
      <c r="H12" s="245"/>
      <c r="I12" s="238"/>
      <c r="J12" s="246">
        <f t="shared" si="0"/>
        <v>7075.75</v>
      </c>
    </row>
    <row r="13" spans="1:13">
      <c r="A13" s="227"/>
      <c r="B13" s="645"/>
      <c r="C13" s="459" t="s">
        <v>15</v>
      </c>
      <c r="D13" s="249">
        <f>SUM(D10:D12)</f>
        <v>30070.86</v>
      </c>
      <c r="E13" s="243">
        <f>SUM(E10:E12)</f>
        <v>0</v>
      </c>
      <c r="F13" s="243">
        <f>SUM(F10:F12)</f>
        <v>0</v>
      </c>
      <c r="G13" s="243">
        <f>SUM(G10:G12)</f>
        <v>675</v>
      </c>
      <c r="H13" s="250">
        <f>SUM(H10:H12)</f>
        <v>0</v>
      </c>
      <c r="I13" s="238"/>
      <c r="J13" s="246">
        <f t="shared" si="0"/>
        <v>30745.86</v>
      </c>
    </row>
    <row r="14" spans="1:13" ht="31" thickBot="1">
      <c r="A14" s="227"/>
      <c r="B14" s="460" t="s">
        <v>18</v>
      </c>
      <c r="C14" s="461" t="s">
        <v>128</v>
      </c>
      <c r="D14" s="462">
        <f>(D8+D13)*60%</f>
        <v>36158.724000000002</v>
      </c>
      <c r="E14" s="254"/>
      <c r="F14" s="254"/>
      <c r="G14" s="462">
        <f>(G8+G13)*60%</f>
        <v>1038.912</v>
      </c>
      <c r="H14" s="255"/>
      <c r="I14" s="238"/>
      <c r="J14" s="256">
        <f t="shared" si="0"/>
        <v>37197.635999999999</v>
      </c>
    </row>
    <row r="15" spans="1:13" ht="16" thickBot="1">
      <c r="A15" s="227"/>
      <c r="B15" s="463"/>
      <c r="C15" s="464"/>
      <c r="D15" s="259"/>
      <c r="E15" s="259"/>
      <c r="F15" s="259"/>
      <c r="G15" s="259"/>
      <c r="H15" s="259"/>
      <c r="I15" s="238"/>
      <c r="J15" s="238"/>
    </row>
    <row r="16" spans="1:13">
      <c r="A16" s="227"/>
      <c r="B16" s="465" t="s">
        <v>6</v>
      </c>
      <c r="C16" s="466"/>
      <c r="D16" s="262">
        <f>D8+D9+D13+D14</f>
        <v>96423.263999999996</v>
      </c>
      <c r="E16" s="263">
        <f>E8+E9+E13+E14</f>
        <v>0</v>
      </c>
      <c r="F16" s="263">
        <f>F8+F9+F13+F14</f>
        <v>0</v>
      </c>
      <c r="G16" s="263">
        <f>G8+G9+G13+G14</f>
        <v>2770.4319999999998</v>
      </c>
      <c r="H16" s="264">
        <f>H8+H9+H13+H14</f>
        <v>0</v>
      </c>
      <c r="I16" s="238"/>
      <c r="J16" s="239">
        <f>J8+J9+J13+J14</f>
        <v>99193.695999999996</v>
      </c>
    </row>
    <row r="17" spans="1:12" ht="31" thickBot="1">
      <c r="A17" s="227"/>
      <c r="B17" s="467" t="s">
        <v>11</v>
      </c>
      <c r="C17" s="468"/>
      <c r="D17" s="267">
        <f>D16*75%</f>
        <v>72317.448000000004</v>
      </c>
      <c r="E17" s="268">
        <f>E16*50%</f>
        <v>0</v>
      </c>
      <c r="F17" s="268">
        <f>F16*100%</f>
        <v>0</v>
      </c>
      <c r="G17" s="268">
        <f>G16*100%</f>
        <v>2770.4319999999998</v>
      </c>
      <c r="H17" s="269">
        <f>H16*100%</f>
        <v>0</v>
      </c>
      <c r="I17" s="238"/>
      <c r="J17" s="256">
        <f>SUM(D17:H17)</f>
        <v>75087.88</v>
      </c>
      <c r="K17" s="450">
        <f>J17-J32</f>
        <v>-91792.12</v>
      </c>
      <c r="L17" s="451" t="s">
        <v>182</v>
      </c>
    </row>
    <row r="18" spans="1:12">
      <c r="A18" s="270" t="s">
        <v>20</v>
      </c>
      <c r="B18" s="270"/>
      <c r="C18" s="227"/>
      <c r="D18" s="271"/>
      <c r="E18" s="271"/>
      <c r="F18" s="271"/>
      <c r="G18" s="271"/>
      <c r="H18" s="271"/>
      <c r="I18" s="272"/>
      <c r="J18" s="273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A20" s="492" t="s">
        <v>186</v>
      </c>
      <c r="B20" s="493"/>
      <c r="C20" s="493"/>
      <c r="D20" s="494"/>
      <c r="E20" s="494"/>
      <c r="F20" s="494"/>
      <c r="G20" s="494"/>
      <c r="H20" s="494"/>
      <c r="I20" s="495"/>
      <c r="J20" s="493"/>
    </row>
    <row r="21" spans="1:12" ht="30">
      <c r="A21" s="493"/>
      <c r="B21" s="493"/>
      <c r="C21" s="493"/>
      <c r="D21" s="496" t="s">
        <v>8</v>
      </c>
      <c r="E21" s="496" t="s">
        <v>2</v>
      </c>
      <c r="F21" s="496" t="s">
        <v>3</v>
      </c>
      <c r="G21" s="496" t="s">
        <v>9</v>
      </c>
      <c r="H21" s="496" t="s">
        <v>10</v>
      </c>
      <c r="I21" s="495"/>
      <c r="J21" s="497" t="s">
        <v>7</v>
      </c>
    </row>
    <row r="22" spans="1:12" ht="16" thickBot="1">
      <c r="A22" s="493"/>
      <c r="B22" s="493"/>
      <c r="C22" s="493"/>
      <c r="D22" s="497"/>
      <c r="E22" s="497"/>
      <c r="F22" s="497"/>
      <c r="G22" s="497"/>
      <c r="H22" s="497"/>
      <c r="I22" s="495"/>
      <c r="J22" s="493"/>
    </row>
    <row r="23" spans="1:12">
      <c r="A23" s="493"/>
      <c r="B23" s="498" t="s">
        <v>5</v>
      </c>
      <c r="C23" s="499"/>
      <c r="D23" s="500">
        <v>55100</v>
      </c>
      <c r="E23" s="501"/>
      <c r="F23" s="501"/>
      <c r="G23" s="502">
        <v>1300</v>
      </c>
      <c r="H23" s="503"/>
      <c r="I23" s="504"/>
      <c r="J23" s="505">
        <f t="shared" ref="J23:J29" si="1">SUM(D23:H23)</f>
        <v>56400</v>
      </c>
      <c r="K23" s="447"/>
    </row>
    <row r="24" spans="1:12">
      <c r="A24" s="493"/>
      <c r="B24" s="506" t="s">
        <v>4</v>
      </c>
      <c r="C24" s="507"/>
      <c r="D24" s="508"/>
      <c r="E24" s="509"/>
      <c r="F24" s="509"/>
      <c r="G24" s="510"/>
      <c r="H24" s="511"/>
      <c r="I24" s="504"/>
      <c r="J24" s="512">
        <f t="shared" si="1"/>
        <v>0</v>
      </c>
    </row>
    <row r="25" spans="1:12" ht="15" customHeight="1">
      <c r="A25" s="493"/>
      <c r="B25" s="656" t="s">
        <v>19</v>
      </c>
      <c r="C25" s="513" t="s">
        <v>12</v>
      </c>
      <c r="D25" s="508">
        <v>51000</v>
      </c>
      <c r="E25" s="509"/>
      <c r="F25" s="509"/>
      <c r="G25" s="510"/>
      <c r="H25" s="511"/>
      <c r="I25" s="504"/>
      <c r="J25" s="512">
        <f t="shared" si="1"/>
        <v>51000</v>
      </c>
    </row>
    <row r="26" spans="1:12">
      <c r="A26" s="493"/>
      <c r="B26" s="657"/>
      <c r="C26" s="513" t="s">
        <v>13</v>
      </c>
      <c r="D26" s="508">
        <v>8000</v>
      </c>
      <c r="E26" s="509"/>
      <c r="F26" s="509"/>
      <c r="G26" s="510">
        <v>4300</v>
      </c>
      <c r="H26" s="511"/>
      <c r="I26" s="504"/>
      <c r="J26" s="512">
        <f t="shared" si="1"/>
        <v>12300</v>
      </c>
    </row>
    <row r="27" spans="1:12">
      <c r="A27" s="493"/>
      <c r="B27" s="657"/>
      <c r="C27" s="513" t="s">
        <v>14</v>
      </c>
      <c r="D27" s="508">
        <v>17500</v>
      </c>
      <c r="E27" s="509"/>
      <c r="F27" s="509"/>
      <c r="G27" s="510"/>
      <c r="H27" s="511"/>
      <c r="I27" s="504"/>
      <c r="J27" s="512">
        <f t="shared" si="1"/>
        <v>17500</v>
      </c>
    </row>
    <row r="28" spans="1:12">
      <c r="A28" s="493"/>
      <c r="B28" s="657"/>
      <c r="C28" s="514" t="s">
        <v>15</v>
      </c>
      <c r="D28" s="515">
        <f>SUM(D25:D27)</f>
        <v>76500</v>
      </c>
      <c r="E28" s="509">
        <f>SUM(E25:E27)</f>
        <v>0</v>
      </c>
      <c r="F28" s="509">
        <f>SUM(F25:F27)</f>
        <v>0</v>
      </c>
      <c r="G28" s="509">
        <f>SUM(G25:G27)</f>
        <v>4300</v>
      </c>
      <c r="H28" s="516">
        <f>SUM(H25:H27)</f>
        <v>0</v>
      </c>
      <c r="I28" s="504"/>
      <c r="J28" s="512">
        <f t="shared" si="1"/>
        <v>80800</v>
      </c>
    </row>
    <row r="29" spans="1:12" ht="31" thickBot="1">
      <c r="A29" s="493"/>
      <c r="B29" s="517" t="s">
        <v>18</v>
      </c>
      <c r="C29" s="518" t="s">
        <v>128</v>
      </c>
      <c r="D29" s="519">
        <f>(D23+D28)*60%</f>
        <v>78960</v>
      </c>
      <c r="E29" s="520"/>
      <c r="F29" s="520"/>
      <c r="G29" s="519">
        <f>(G23+G28)*60%</f>
        <v>3360</v>
      </c>
      <c r="H29" s="521"/>
      <c r="I29" s="504"/>
      <c r="J29" s="522">
        <f t="shared" si="1"/>
        <v>82320</v>
      </c>
    </row>
    <row r="30" spans="1:12" ht="16" thickBot="1">
      <c r="A30" s="493"/>
      <c r="B30" s="523"/>
      <c r="C30" s="524"/>
      <c r="D30" s="525"/>
      <c r="E30" s="525"/>
      <c r="F30" s="525"/>
      <c r="G30" s="525"/>
      <c r="H30" s="525"/>
      <c r="I30" s="504"/>
      <c r="J30" s="504"/>
    </row>
    <row r="31" spans="1:12">
      <c r="A31" s="493"/>
      <c r="B31" s="526" t="s">
        <v>6</v>
      </c>
      <c r="C31" s="527"/>
      <c r="D31" s="528">
        <f>D23+D24+D28+D29</f>
        <v>210560</v>
      </c>
      <c r="E31" s="529">
        <f>E23+E24+E28+E29</f>
        <v>0</v>
      </c>
      <c r="F31" s="529">
        <f>F23+F24+F28+F29</f>
        <v>0</v>
      </c>
      <c r="G31" s="529">
        <f>G23+G24+G28+G29</f>
        <v>8960</v>
      </c>
      <c r="H31" s="530">
        <f>H23+H24+H28+H29</f>
        <v>0</v>
      </c>
      <c r="I31" s="504"/>
      <c r="J31" s="505">
        <f>J23+J24+J28+J29</f>
        <v>219520</v>
      </c>
    </row>
    <row r="32" spans="1:12" ht="31" thickBot="1">
      <c r="A32" s="493"/>
      <c r="B32" s="531" t="s">
        <v>11</v>
      </c>
      <c r="C32" s="532"/>
      <c r="D32" s="533">
        <f>D31*75%</f>
        <v>157920</v>
      </c>
      <c r="E32" s="534">
        <f>E31*50%</f>
        <v>0</v>
      </c>
      <c r="F32" s="534">
        <f>F31*100%</f>
        <v>0</v>
      </c>
      <c r="G32" s="534">
        <f>G31*100%</f>
        <v>8960</v>
      </c>
      <c r="H32" s="535">
        <f>H31*100%</f>
        <v>0</v>
      </c>
      <c r="I32" s="504"/>
      <c r="J32" s="522">
        <f>SUM(D32:H32)</f>
        <v>166880</v>
      </c>
      <c r="K32" s="450">
        <f>J32-J47</f>
        <v>-75000</v>
      </c>
    </row>
    <row r="33" spans="1:10">
      <c r="A33" s="536" t="s">
        <v>20</v>
      </c>
      <c r="B33" s="536"/>
      <c r="C33" s="493"/>
      <c r="D33" s="537"/>
      <c r="E33" s="537"/>
      <c r="F33" s="537"/>
      <c r="G33" s="537"/>
      <c r="H33" s="537"/>
      <c r="I33" s="538"/>
      <c r="J33" s="539"/>
    </row>
    <row r="34" spans="1:10">
      <c r="D34" s="44"/>
      <c r="E34" s="44"/>
      <c r="F34" s="44"/>
      <c r="G34" s="44"/>
      <c r="H34" s="44"/>
      <c r="I34" s="45"/>
      <c r="J34" s="46"/>
    </row>
    <row r="35" spans="1:10">
      <c r="A35" s="205" t="s">
        <v>179</v>
      </c>
      <c r="B35" s="206"/>
      <c r="C35" s="206"/>
      <c r="D35" s="207"/>
      <c r="E35" s="207"/>
      <c r="F35" s="207"/>
      <c r="G35" s="207"/>
      <c r="H35" s="207"/>
      <c r="I35" s="206"/>
      <c r="J35" s="206"/>
    </row>
    <row r="36" spans="1:10" ht="30">
      <c r="A36" s="206"/>
      <c r="B36" s="206"/>
      <c r="C36" s="206"/>
      <c r="D36" s="208" t="s">
        <v>8</v>
      </c>
      <c r="E36" s="208" t="s">
        <v>2</v>
      </c>
      <c r="F36" s="208" t="s">
        <v>3</v>
      </c>
      <c r="G36" s="208" t="s">
        <v>9</v>
      </c>
      <c r="H36" s="208" t="s">
        <v>10</v>
      </c>
      <c r="I36" s="206"/>
      <c r="J36" s="209" t="s">
        <v>7</v>
      </c>
    </row>
    <row r="37" spans="1:10" ht="16" thickBot="1">
      <c r="A37" s="206"/>
      <c r="B37" s="206"/>
      <c r="C37" s="206"/>
      <c r="D37" s="209"/>
      <c r="E37" s="209"/>
      <c r="F37" s="209"/>
      <c r="G37" s="209"/>
      <c r="H37" s="209"/>
      <c r="I37" s="206"/>
      <c r="J37" s="206"/>
    </row>
    <row r="38" spans="1:10">
      <c r="A38" s="206"/>
      <c r="B38" s="210" t="s">
        <v>5</v>
      </c>
      <c r="C38" s="221"/>
      <c r="D38" s="419">
        <v>77500</v>
      </c>
      <c r="E38" s="420"/>
      <c r="F38" s="420"/>
      <c r="G38" s="419">
        <v>1300</v>
      </c>
      <c r="H38" s="421"/>
      <c r="I38" s="422"/>
      <c r="J38" s="423">
        <v>78800</v>
      </c>
    </row>
    <row r="39" spans="1:10">
      <c r="A39" s="206"/>
      <c r="B39" s="479" t="s">
        <v>4</v>
      </c>
      <c r="C39" s="424"/>
      <c r="D39" s="425"/>
      <c r="E39" s="426"/>
      <c r="F39" s="426"/>
      <c r="G39" s="425"/>
      <c r="H39" s="427"/>
      <c r="I39" s="422"/>
      <c r="J39" s="428">
        <v>0</v>
      </c>
    </row>
    <row r="40" spans="1:10" ht="30">
      <c r="A40" s="206"/>
      <c r="B40" s="477" t="s">
        <v>19</v>
      </c>
      <c r="C40" s="429" t="s">
        <v>12</v>
      </c>
      <c r="D40" s="425">
        <v>68600</v>
      </c>
      <c r="E40" s="426"/>
      <c r="F40" s="426"/>
      <c r="G40" s="425"/>
      <c r="H40" s="427"/>
      <c r="I40" s="422"/>
      <c r="J40" s="428">
        <v>68600</v>
      </c>
    </row>
    <row r="41" spans="1:10">
      <c r="A41" s="206"/>
      <c r="B41" s="478"/>
      <c r="C41" s="429" t="s">
        <v>13</v>
      </c>
      <c r="D41" s="425">
        <v>8000</v>
      </c>
      <c r="E41" s="426"/>
      <c r="F41" s="426"/>
      <c r="G41" s="425">
        <v>4300</v>
      </c>
      <c r="H41" s="427"/>
      <c r="I41" s="422"/>
      <c r="J41" s="428">
        <v>12300</v>
      </c>
    </row>
    <row r="42" spans="1:10">
      <c r="A42" s="206"/>
      <c r="B42" s="478"/>
      <c r="C42" s="429" t="s">
        <v>14</v>
      </c>
      <c r="D42" s="425">
        <v>40000</v>
      </c>
      <c r="E42" s="426"/>
      <c r="F42" s="426"/>
      <c r="G42" s="425"/>
      <c r="H42" s="427"/>
      <c r="I42" s="422"/>
      <c r="J42" s="428">
        <v>40000</v>
      </c>
    </row>
    <row r="43" spans="1:10">
      <c r="A43" s="206"/>
      <c r="B43" s="479"/>
      <c r="C43" s="430" t="s">
        <v>15</v>
      </c>
      <c r="D43" s="426">
        <v>116600</v>
      </c>
      <c r="E43" s="426">
        <v>0</v>
      </c>
      <c r="F43" s="426">
        <v>0</v>
      </c>
      <c r="G43" s="426">
        <v>4300</v>
      </c>
      <c r="H43" s="431">
        <v>0</v>
      </c>
      <c r="I43" s="422"/>
      <c r="J43" s="428">
        <v>120900</v>
      </c>
    </row>
    <row r="44" spans="1:10" ht="31" thickBot="1">
      <c r="A44" s="206"/>
      <c r="B44" s="217" t="s">
        <v>18</v>
      </c>
      <c r="C44" s="223" t="s">
        <v>128</v>
      </c>
      <c r="D44" s="432">
        <v>116460</v>
      </c>
      <c r="E44" s="433"/>
      <c r="F44" s="433"/>
      <c r="G44" s="434">
        <v>3360</v>
      </c>
      <c r="H44" s="435"/>
      <c r="I44" s="422"/>
      <c r="J44" s="436">
        <v>119820</v>
      </c>
    </row>
    <row r="45" spans="1:10" ht="16" thickBot="1">
      <c r="A45" s="206"/>
      <c r="B45" s="214"/>
      <c r="C45" s="219"/>
      <c r="D45" s="422"/>
      <c r="E45" s="422"/>
      <c r="F45" s="422"/>
      <c r="G45" s="422"/>
      <c r="H45" s="422"/>
      <c r="I45" s="422"/>
      <c r="J45" s="422"/>
    </row>
    <row r="46" spans="1:10">
      <c r="A46" s="206"/>
      <c r="B46" s="220" t="s">
        <v>6</v>
      </c>
      <c r="C46" s="221"/>
      <c r="D46" s="420">
        <v>310560</v>
      </c>
      <c r="E46" s="420">
        <v>0</v>
      </c>
      <c r="F46" s="420">
        <v>0</v>
      </c>
      <c r="G46" s="420">
        <v>8960</v>
      </c>
      <c r="H46" s="437">
        <v>0</v>
      </c>
      <c r="I46" s="422"/>
      <c r="J46" s="423">
        <v>319520</v>
      </c>
    </row>
    <row r="47" spans="1:10" ht="31" thickBot="1">
      <c r="A47" s="206"/>
      <c r="B47" s="222" t="s">
        <v>11</v>
      </c>
      <c r="C47" s="223"/>
      <c r="D47" s="433">
        <v>232920</v>
      </c>
      <c r="E47" s="433">
        <v>0</v>
      </c>
      <c r="F47" s="433">
        <v>0</v>
      </c>
      <c r="G47" s="433">
        <v>8960</v>
      </c>
      <c r="H47" s="438">
        <v>0</v>
      </c>
      <c r="I47" s="422"/>
      <c r="J47" s="436">
        <v>241880</v>
      </c>
    </row>
  </sheetData>
  <mergeCells count="2">
    <mergeCell ref="B10:B13"/>
    <mergeCell ref="B25:B2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25"/>
  <sheetViews>
    <sheetView workbookViewId="0">
      <selection activeCell="H3" sqref="H3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158</v>
      </c>
      <c r="C3" s="110"/>
      <c r="H3" s="194" t="s">
        <v>167</v>
      </c>
    </row>
    <row r="4" spans="1:10">
      <c r="G4" s="5"/>
      <c r="H4" s="4"/>
    </row>
    <row r="5" spans="1:10">
      <c r="A5" s="48" t="s">
        <v>17</v>
      </c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31500</v>
      </c>
      <c r="E8" s="17"/>
      <c r="F8" s="17"/>
      <c r="G8" s="18">
        <v>1400</v>
      </c>
      <c r="H8" s="19"/>
      <c r="I8" s="20"/>
      <c r="J8" s="21">
        <f t="shared" ref="J8:J14" si="0">SUM(D8:H8)</f>
        <v>32900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11875</v>
      </c>
      <c r="E10" s="23"/>
      <c r="F10" s="23"/>
      <c r="G10" s="24"/>
      <c r="H10" s="25"/>
      <c r="I10" s="20"/>
      <c r="J10" s="26">
        <f t="shared" si="0"/>
        <v>11875</v>
      </c>
    </row>
    <row r="11" spans="1:10">
      <c r="A11" s="8"/>
      <c r="B11" s="647"/>
      <c r="C11" s="87" t="s">
        <v>13</v>
      </c>
      <c r="D11" s="22">
        <v>10000</v>
      </c>
      <c r="E11" s="23"/>
      <c r="F11" s="23"/>
      <c r="G11" s="24">
        <v>4200</v>
      </c>
      <c r="H11" s="25"/>
      <c r="I11" s="20"/>
      <c r="J11" s="26">
        <f t="shared" si="0"/>
        <v>14200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21875</v>
      </c>
      <c r="E13" s="23">
        <f>SUM(E10:E12)</f>
        <v>0</v>
      </c>
      <c r="F13" s="23">
        <f>SUM(F10:F12)</f>
        <v>0</v>
      </c>
      <c r="G13" s="23">
        <f>SUM(G10:G12)</f>
        <v>4200</v>
      </c>
      <c r="H13" s="28">
        <f>SUM(H10:H12)</f>
        <v>0</v>
      </c>
      <c r="I13" s="20"/>
      <c r="J13" s="26">
        <f t="shared" si="0"/>
        <v>26075</v>
      </c>
    </row>
    <row r="14" spans="1:10" ht="31" thickBot="1">
      <c r="A14" s="8"/>
      <c r="B14" s="104" t="s">
        <v>92</v>
      </c>
      <c r="C14" s="105" t="s">
        <v>128</v>
      </c>
      <c r="D14" s="29">
        <f>(D8+D13)*60%</f>
        <v>32025</v>
      </c>
      <c r="E14" s="30"/>
      <c r="F14" s="30"/>
      <c r="G14" s="31">
        <f>(G13+G8)*60%</f>
        <v>3360</v>
      </c>
      <c r="H14" s="32"/>
      <c r="I14" s="20"/>
      <c r="J14" s="33">
        <f t="shared" si="0"/>
        <v>35385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85400</v>
      </c>
      <c r="E16" s="36">
        <f>E8+E9+E13+E14</f>
        <v>0</v>
      </c>
      <c r="F16" s="36">
        <f>F8+F9+F13+F14</f>
        <v>0</v>
      </c>
      <c r="G16" s="36">
        <f>G8+G9+G13+G14</f>
        <v>8960</v>
      </c>
      <c r="H16" s="37">
        <f>H8+H9+H13+H14</f>
        <v>0</v>
      </c>
      <c r="I16" s="20"/>
      <c r="J16" s="21">
        <f>J8+J9+J13+J14</f>
        <v>94360</v>
      </c>
    </row>
    <row r="17" spans="1:10" ht="31" thickBot="1">
      <c r="A17" s="8"/>
      <c r="B17" s="108" t="s">
        <v>11</v>
      </c>
      <c r="C17" s="109"/>
      <c r="D17" s="38">
        <f>D16*75%</f>
        <v>64050</v>
      </c>
      <c r="E17" s="39">
        <f>E16*50%</f>
        <v>0</v>
      </c>
      <c r="F17" s="39">
        <f>F16*100%</f>
        <v>0</v>
      </c>
      <c r="G17" s="39">
        <f>G16*100%</f>
        <v>8960</v>
      </c>
      <c r="H17" s="40">
        <f>H16*100%</f>
        <v>0</v>
      </c>
      <c r="I17" s="20"/>
      <c r="J17" s="33">
        <f>SUM(D17:H17)</f>
        <v>73010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0">
      <c r="D19" s="44"/>
      <c r="E19" s="44"/>
      <c r="F19" s="44"/>
      <c r="G19" s="44"/>
      <c r="H19" s="44"/>
      <c r="I19" s="45"/>
      <c r="J19" s="46"/>
    </row>
    <row r="20" spans="1:10">
      <c r="D20" s="44"/>
      <c r="E20" s="44"/>
      <c r="F20" s="44"/>
      <c r="G20" s="44"/>
      <c r="H20" s="44"/>
      <c r="I20" s="45"/>
      <c r="J20" s="46"/>
    </row>
    <row r="25" spans="1:10">
      <c r="C25" s="340" t="s">
        <v>146</v>
      </c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L34"/>
  <sheetViews>
    <sheetView workbookViewId="0">
      <selection activeCell="D11" sqref="D11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49</v>
      </c>
      <c r="C3" s="110"/>
      <c r="H3" s="445">
        <v>42594</v>
      </c>
    </row>
    <row r="4" spans="1:10">
      <c r="G4" s="5"/>
      <c r="H4" s="4"/>
    </row>
    <row r="5" spans="1:10">
      <c r="A5" s="48" t="s">
        <v>201</v>
      </c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19000</v>
      </c>
      <c r="E8" s="17"/>
      <c r="F8" s="17"/>
      <c r="G8" s="18">
        <v>1000</v>
      </c>
      <c r="H8" s="19"/>
      <c r="I8" s="20"/>
      <c r="J8" s="21">
        <f t="shared" ref="J8:J14" si="0">SUM(D8:H8)</f>
        <v>20000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2500</v>
      </c>
      <c r="E10" s="23"/>
      <c r="F10" s="23"/>
      <c r="G10" s="24"/>
      <c r="H10" s="25"/>
      <c r="I10" s="20"/>
      <c r="J10" s="26">
        <f t="shared" si="0"/>
        <v>2500</v>
      </c>
    </row>
    <row r="11" spans="1:10">
      <c r="A11" s="8"/>
      <c r="B11" s="647"/>
      <c r="C11" s="87" t="s">
        <v>13</v>
      </c>
      <c r="D11" s="22">
        <v>3000</v>
      </c>
      <c r="E11" s="23"/>
      <c r="F11" s="23"/>
      <c r="G11" s="24">
        <v>4600</v>
      </c>
      <c r="H11" s="25"/>
      <c r="I11" s="20"/>
      <c r="J11" s="26">
        <f t="shared" si="0"/>
        <v>7600</v>
      </c>
    </row>
    <row r="12" spans="1:10">
      <c r="A12" s="8"/>
      <c r="B12" s="647"/>
      <c r="C12" s="87" t="s">
        <v>14</v>
      </c>
      <c r="D12" s="22">
        <v>5000</v>
      </c>
      <c r="E12" s="23"/>
      <c r="F12" s="23"/>
      <c r="G12" s="24"/>
      <c r="H12" s="25"/>
      <c r="I12" s="20"/>
      <c r="J12" s="26">
        <f t="shared" si="0"/>
        <v>5000</v>
      </c>
    </row>
    <row r="13" spans="1:10">
      <c r="A13" s="8"/>
      <c r="B13" s="647"/>
      <c r="C13" s="88" t="s">
        <v>15</v>
      </c>
      <c r="D13" s="27">
        <f>SUM(D10:D12)</f>
        <v>10500</v>
      </c>
      <c r="E13" s="23">
        <f>SUM(E10:E12)</f>
        <v>0</v>
      </c>
      <c r="F13" s="23">
        <f>SUM(F10:F12)</f>
        <v>0</v>
      </c>
      <c r="G13" s="23">
        <f>SUM(G10:G12)</f>
        <v>4600</v>
      </c>
      <c r="H13" s="28">
        <f>SUM(H10:H12)</f>
        <v>0</v>
      </c>
      <c r="I13" s="20"/>
      <c r="J13" s="26">
        <f t="shared" si="0"/>
        <v>15100</v>
      </c>
    </row>
    <row r="14" spans="1:10" ht="31" thickBot="1">
      <c r="A14" s="8"/>
      <c r="B14" s="104" t="s">
        <v>18</v>
      </c>
      <c r="C14" s="105" t="s">
        <v>166</v>
      </c>
      <c r="D14" s="29">
        <f>60%*(D8+D13)</f>
        <v>17700</v>
      </c>
      <c r="E14" s="30"/>
      <c r="F14" s="30"/>
      <c r="G14" s="395">
        <f>60%*(G8+G13)</f>
        <v>3360</v>
      </c>
      <c r="H14" s="32"/>
      <c r="I14" s="20"/>
      <c r="J14" s="33">
        <f t="shared" si="0"/>
        <v>21060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47200</v>
      </c>
      <c r="E16" s="36">
        <f>E8+E9+E13+E14</f>
        <v>0</v>
      </c>
      <c r="F16" s="36">
        <f>F8+F9+F13+F14</f>
        <v>0</v>
      </c>
      <c r="G16" s="36">
        <f>G8+G9+G13+G14</f>
        <v>8960</v>
      </c>
      <c r="H16" s="37">
        <f>H8+H9+H13+H14</f>
        <v>0</v>
      </c>
      <c r="I16" s="20"/>
      <c r="J16" s="21">
        <f>J8+J9+J13+J14</f>
        <v>56160</v>
      </c>
    </row>
    <row r="17" spans="1:12" ht="31" thickBot="1">
      <c r="A17" s="8"/>
      <c r="B17" s="108" t="s">
        <v>11</v>
      </c>
      <c r="C17" s="109"/>
      <c r="D17" s="38">
        <f>D16*75%</f>
        <v>35400</v>
      </c>
      <c r="E17" s="39">
        <f>E16*50%</f>
        <v>0</v>
      </c>
      <c r="F17" s="39">
        <f>F16*100%</f>
        <v>0</v>
      </c>
      <c r="G17" s="39">
        <f>G16*100%</f>
        <v>8960</v>
      </c>
      <c r="H17" s="40">
        <f>H16*100%</f>
        <v>0</v>
      </c>
      <c r="I17" s="20"/>
      <c r="J17" s="33">
        <f>SUM(D17:H17)</f>
        <v>44360</v>
      </c>
      <c r="K17" s="450">
        <f>J17-J33</f>
        <v>3000</v>
      </c>
      <c r="L17" s="451" t="s">
        <v>182</v>
      </c>
    </row>
    <row r="18" spans="1:12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D20" s="44"/>
      <c r="E20" s="44"/>
      <c r="F20" s="44"/>
      <c r="G20" s="44"/>
      <c r="H20" s="44"/>
      <c r="I20" s="45"/>
      <c r="J20" s="46"/>
    </row>
    <row r="21" spans="1:12">
      <c r="A21" s="48"/>
      <c r="B21" s="8"/>
      <c r="C21" s="8"/>
      <c r="D21" s="9"/>
      <c r="E21" s="9"/>
      <c r="F21" s="9"/>
      <c r="G21" s="9"/>
      <c r="H21" s="9"/>
      <c r="I21" s="15"/>
      <c r="J21" s="8"/>
    </row>
    <row r="22" spans="1:12" ht="30">
      <c r="A22" s="8"/>
      <c r="B22" s="8"/>
      <c r="C22" s="8"/>
      <c r="D22" s="10" t="s">
        <v>8</v>
      </c>
      <c r="E22" s="10" t="s">
        <v>2</v>
      </c>
      <c r="F22" s="10" t="s">
        <v>3</v>
      </c>
      <c r="G22" s="10" t="s">
        <v>9</v>
      </c>
      <c r="H22" s="10" t="s">
        <v>10</v>
      </c>
      <c r="I22" s="15"/>
      <c r="J22" s="11" t="s">
        <v>7</v>
      </c>
    </row>
    <row r="23" spans="1:12" ht="16" thickBot="1">
      <c r="A23" s="8"/>
      <c r="B23" s="8"/>
      <c r="C23" s="8"/>
      <c r="D23" s="11"/>
      <c r="E23" s="11"/>
      <c r="F23" s="11"/>
      <c r="G23" s="11"/>
      <c r="H23" s="11"/>
      <c r="I23" s="15"/>
      <c r="J23" s="8"/>
    </row>
    <row r="24" spans="1:12">
      <c r="A24" s="8"/>
      <c r="B24" s="101" t="s">
        <v>5</v>
      </c>
      <c r="C24" s="102"/>
      <c r="D24" s="16">
        <v>17000</v>
      </c>
      <c r="E24" s="17"/>
      <c r="F24" s="17"/>
      <c r="G24" s="18">
        <v>1000</v>
      </c>
      <c r="H24" s="19"/>
      <c r="I24" s="20"/>
      <c r="J24" s="21">
        <f t="shared" ref="J24:J30" si="1">SUM(D24:H24)</f>
        <v>18000</v>
      </c>
    </row>
    <row r="25" spans="1:12">
      <c r="A25" s="8"/>
      <c r="B25" s="482" t="s">
        <v>4</v>
      </c>
      <c r="C25" s="86"/>
      <c r="D25" s="22"/>
      <c r="E25" s="23"/>
      <c r="F25" s="23"/>
      <c r="G25" s="24"/>
      <c r="H25" s="25"/>
      <c r="I25" s="20"/>
      <c r="J25" s="26">
        <f t="shared" si="1"/>
        <v>0</v>
      </c>
    </row>
    <row r="26" spans="1:12">
      <c r="A26" s="8"/>
      <c r="B26" s="646" t="s">
        <v>19</v>
      </c>
      <c r="C26" s="87" t="s">
        <v>12</v>
      </c>
      <c r="D26" s="22">
        <v>2000</v>
      </c>
      <c r="E26" s="23"/>
      <c r="F26" s="23"/>
      <c r="G26" s="24"/>
      <c r="H26" s="25"/>
      <c r="I26" s="20"/>
      <c r="J26" s="26">
        <f t="shared" si="1"/>
        <v>2000</v>
      </c>
    </row>
    <row r="27" spans="1:12">
      <c r="A27" s="8"/>
      <c r="B27" s="647"/>
      <c r="C27" s="87" t="s">
        <v>13</v>
      </c>
      <c r="D27" s="22">
        <v>3000</v>
      </c>
      <c r="E27" s="23"/>
      <c r="F27" s="23"/>
      <c r="G27" s="24">
        <v>4600</v>
      </c>
      <c r="H27" s="25"/>
      <c r="I27" s="20"/>
      <c r="J27" s="26">
        <f t="shared" si="1"/>
        <v>7600</v>
      </c>
    </row>
    <row r="28" spans="1:12">
      <c r="A28" s="8"/>
      <c r="B28" s="647"/>
      <c r="C28" s="87" t="s">
        <v>14</v>
      </c>
      <c r="D28" s="22">
        <v>5000</v>
      </c>
      <c r="E28" s="23"/>
      <c r="F28" s="23"/>
      <c r="G28" s="24"/>
      <c r="H28" s="25"/>
      <c r="I28" s="20"/>
      <c r="J28" s="26">
        <f t="shared" si="1"/>
        <v>5000</v>
      </c>
    </row>
    <row r="29" spans="1:12">
      <c r="A29" s="8"/>
      <c r="B29" s="647"/>
      <c r="C29" s="88" t="s">
        <v>15</v>
      </c>
      <c r="D29" s="27">
        <f>SUM(D26:D28)</f>
        <v>10000</v>
      </c>
      <c r="E29" s="23">
        <f>SUM(E26:E28)</f>
        <v>0</v>
      </c>
      <c r="F29" s="23">
        <f>SUM(F26:F28)</f>
        <v>0</v>
      </c>
      <c r="G29" s="23">
        <f>SUM(G26:G28)</f>
        <v>4600</v>
      </c>
      <c r="H29" s="28">
        <f>SUM(H26:H28)</f>
        <v>0</v>
      </c>
      <c r="I29" s="20"/>
      <c r="J29" s="26">
        <f t="shared" si="1"/>
        <v>14600</v>
      </c>
    </row>
    <row r="30" spans="1:12" ht="31" thickBot="1">
      <c r="A30" s="8"/>
      <c r="B30" s="104" t="s">
        <v>18</v>
      </c>
      <c r="C30" s="105" t="s">
        <v>166</v>
      </c>
      <c r="D30" s="29">
        <f>60%*(D24+D29)</f>
        <v>16200</v>
      </c>
      <c r="E30" s="30"/>
      <c r="F30" s="30"/>
      <c r="G30" s="395">
        <f>60%*(G24+G29)</f>
        <v>3360</v>
      </c>
      <c r="H30" s="32"/>
      <c r="I30" s="20"/>
      <c r="J30" s="33">
        <f t="shared" si="1"/>
        <v>19560</v>
      </c>
    </row>
    <row r="31" spans="1:12" ht="16" thickBot="1">
      <c r="A31" s="8"/>
      <c r="B31" s="12"/>
      <c r="C31" s="13"/>
      <c r="D31" s="34"/>
      <c r="E31" s="34"/>
      <c r="F31" s="34"/>
      <c r="G31" s="34"/>
      <c r="H31" s="34"/>
      <c r="I31" s="20"/>
      <c r="J31" s="20"/>
    </row>
    <row r="32" spans="1:12">
      <c r="A32" s="8"/>
      <c r="B32" s="106" t="s">
        <v>6</v>
      </c>
      <c r="C32" s="107"/>
      <c r="D32" s="35">
        <f>D24+D25+D29+D30</f>
        <v>43200</v>
      </c>
      <c r="E32" s="36">
        <f>E24+E25+E29+E30</f>
        <v>0</v>
      </c>
      <c r="F32" s="36">
        <f>F24+F25+F29+F30</f>
        <v>0</v>
      </c>
      <c r="G32" s="36">
        <f>G24+G25+G29+G30</f>
        <v>8960</v>
      </c>
      <c r="H32" s="37">
        <f>H24+H25+H29+H30</f>
        <v>0</v>
      </c>
      <c r="I32" s="20"/>
      <c r="J32" s="21">
        <f>J24+J25+J29+J30</f>
        <v>52160</v>
      </c>
    </row>
    <row r="33" spans="1:10" ht="31" thickBot="1">
      <c r="A33" s="8"/>
      <c r="B33" s="108" t="s">
        <v>11</v>
      </c>
      <c r="C33" s="109"/>
      <c r="D33" s="38">
        <f>D32*75%</f>
        <v>32400</v>
      </c>
      <c r="E33" s="39">
        <f>E32*50%</f>
        <v>0</v>
      </c>
      <c r="F33" s="39">
        <f>F32*100%</f>
        <v>0</v>
      </c>
      <c r="G33" s="39">
        <f>G32*100%</f>
        <v>8960</v>
      </c>
      <c r="H33" s="40">
        <f>H32*100%</f>
        <v>0</v>
      </c>
      <c r="I33" s="20"/>
      <c r="J33" s="33">
        <f>SUM(D33:H33)</f>
        <v>41360</v>
      </c>
    </row>
    <row r="34" spans="1:10">
      <c r="A34" s="47" t="s">
        <v>20</v>
      </c>
      <c r="B34" s="47"/>
      <c r="C34" s="8"/>
      <c r="D34" s="41"/>
      <c r="E34" s="41"/>
      <c r="F34" s="41"/>
      <c r="G34" s="41"/>
      <c r="H34" s="41"/>
      <c r="I34" s="42"/>
      <c r="J34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J20"/>
  <sheetViews>
    <sheetView workbookViewId="0">
      <selection activeCell="D14" sqref="D1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48</v>
      </c>
      <c r="C3" s="110"/>
      <c r="H3" s="194" t="s">
        <v>147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74000</v>
      </c>
      <c r="E8" s="17"/>
      <c r="F8" s="17"/>
      <c r="G8" s="18">
        <v>1000</v>
      </c>
      <c r="H8" s="19"/>
      <c r="I8" s="20"/>
      <c r="J8" s="21">
        <f t="shared" ref="J8:J14" si="0">SUM(D8:H8)</f>
        <v>75000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26680</v>
      </c>
      <c r="E10" s="23"/>
      <c r="F10" s="23"/>
      <c r="G10" s="24">
        <v>5630</v>
      </c>
      <c r="H10" s="25"/>
      <c r="I10" s="20"/>
      <c r="J10" s="26">
        <f t="shared" si="0"/>
        <v>32310</v>
      </c>
    </row>
    <row r="11" spans="1:10">
      <c r="A11" s="8"/>
      <c r="B11" s="647"/>
      <c r="C11" s="87" t="s">
        <v>13</v>
      </c>
      <c r="D11" s="22">
        <v>8900</v>
      </c>
      <c r="E11" s="23"/>
      <c r="F11" s="23"/>
      <c r="G11" s="24"/>
      <c r="H11" s="25"/>
      <c r="I11" s="20"/>
      <c r="J11" s="26">
        <f t="shared" si="0"/>
        <v>8900</v>
      </c>
    </row>
    <row r="12" spans="1:10">
      <c r="A12" s="8"/>
      <c r="B12" s="647"/>
      <c r="C12" s="87" t="s">
        <v>14</v>
      </c>
      <c r="D12" s="22">
        <v>3000</v>
      </c>
      <c r="E12" s="23"/>
      <c r="F12" s="23"/>
      <c r="G12" s="24"/>
      <c r="H12" s="25"/>
      <c r="I12" s="20"/>
      <c r="J12" s="26">
        <f t="shared" si="0"/>
        <v>3000</v>
      </c>
    </row>
    <row r="13" spans="1:10">
      <c r="A13" s="8"/>
      <c r="B13" s="647"/>
      <c r="C13" s="88" t="s">
        <v>15</v>
      </c>
      <c r="D13" s="27">
        <f>SUM(D10:D12)</f>
        <v>38580</v>
      </c>
      <c r="E13" s="23">
        <f>SUM(E10:E12)</f>
        <v>0</v>
      </c>
      <c r="F13" s="23">
        <f>SUM(F10:F12)</f>
        <v>0</v>
      </c>
      <c r="G13" s="23">
        <f>SUM(G10:G12)</f>
        <v>5630</v>
      </c>
      <c r="H13" s="28">
        <f>SUM(H10:H12)</f>
        <v>0</v>
      </c>
      <c r="I13" s="20"/>
      <c r="J13" s="26">
        <f t="shared" si="0"/>
        <v>44210</v>
      </c>
    </row>
    <row r="14" spans="1:10" ht="31" thickBot="1">
      <c r="A14" s="8"/>
      <c r="B14" s="104" t="s">
        <v>18</v>
      </c>
      <c r="C14" s="105"/>
      <c r="D14" s="29">
        <f>0.6*(D8+D13)</f>
        <v>67548</v>
      </c>
      <c r="E14" s="30"/>
      <c r="F14" s="30"/>
      <c r="G14" s="31">
        <f>0.6*(G8+G13)</f>
        <v>3978</v>
      </c>
      <c r="H14" s="32"/>
      <c r="I14" s="20"/>
      <c r="J14" s="33">
        <f t="shared" si="0"/>
        <v>71526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180128</v>
      </c>
      <c r="E16" s="36">
        <f>E8+E9+E13+E14</f>
        <v>0</v>
      </c>
      <c r="F16" s="36">
        <f>F8+F9+F13+F14</f>
        <v>0</v>
      </c>
      <c r="G16" s="36">
        <f>G8+G9+G13+G14</f>
        <v>10608</v>
      </c>
      <c r="H16" s="37">
        <f>H8+H9+H13+H14</f>
        <v>0</v>
      </c>
      <c r="I16" s="20"/>
      <c r="J16" s="21">
        <f>J8+J9+J13+J14</f>
        <v>190736</v>
      </c>
    </row>
    <row r="17" spans="1:10" ht="31" thickBot="1">
      <c r="A17" s="8"/>
      <c r="B17" s="108" t="s">
        <v>11</v>
      </c>
      <c r="C17" s="109"/>
      <c r="D17" s="38">
        <f>D16*75%</f>
        <v>135096</v>
      </c>
      <c r="E17" s="39">
        <f>E16*50%</f>
        <v>0</v>
      </c>
      <c r="F17" s="39">
        <f>F16*100%</f>
        <v>0</v>
      </c>
      <c r="G17" s="39">
        <f>G16*100%</f>
        <v>10608</v>
      </c>
      <c r="H17" s="40">
        <f>H16*100%</f>
        <v>0</v>
      </c>
      <c r="I17" s="20"/>
      <c r="J17" s="33">
        <f>SUM(D17:H17)</f>
        <v>145704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0">
      <c r="D19" s="44"/>
      <c r="E19" s="44"/>
      <c r="F19" s="44"/>
      <c r="G19" s="44"/>
      <c r="H19" s="44"/>
      <c r="I19" s="45"/>
      <c r="J19" s="46"/>
    </row>
    <row r="20" spans="1:10">
      <c r="D20" s="44"/>
      <c r="E20" s="44"/>
      <c r="F20" s="44"/>
      <c r="G20" s="44"/>
      <c r="H20" s="44"/>
      <c r="I20" s="45"/>
      <c r="J20" s="46"/>
    </row>
  </sheetData>
  <sheetProtection sheet="1" objects="1" scenarios="1"/>
  <mergeCells count="1">
    <mergeCell ref="B10:B1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L50"/>
  <sheetViews>
    <sheetView workbookViewId="0">
      <selection activeCell="D14" sqref="D1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11.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6384" width="10.83203125" style="2"/>
  </cols>
  <sheetData>
    <row r="1" spans="1:11" ht="16">
      <c r="A1" s="1" t="s">
        <v>0</v>
      </c>
    </row>
    <row r="2" spans="1:11" ht="16">
      <c r="A2" s="1" t="s">
        <v>1</v>
      </c>
    </row>
    <row r="3" spans="1:11" ht="16">
      <c r="A3" s="6" t="s">
        <v>23</v>
      </c>
      <c r="B3" s="7" t="s">
        <v>21</v>
      </c>
      <c r="C3" s="110"/>
      <c r="F3" s="3" t="s">
        <v>101</v>
      </c>
      <c r="H3" s="445">
        <v>42654</v>
      </c>
    </row>
    <row r="4" spans="1:11">
      <c r="G4" s="5"/>
      <c r="H4" s="4"/>
    </row>
    <row r="5" spans="1:11">
      <c r="A5" s="226" t="s">
        <v>211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1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1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</row>
    <row r="8" spans="1:11">
      <c r="A8" s="227"/>
      <c r="B8" s="454" t="s">
        <v>5</v>
      </c>
      <c r="C8" s="455"/>
      <c r="D8" s="234">
        <v>540000</v>
      </c>
      <c r="E8" s="235"/>
      <c r="F8" s="235"/>
      <c r="G8" s="236">
        <v>112200</v>
      </c>
      <c r="H8" s="237">
        <v>31500</v>
      </c>
      <c r="I8" s="238"/>
      <c r="J8" s="239">
        <f t="shared" ref="J8:J14" si="0">SUM(D8:H8)</f>
        <v>683700</v>
      </c>
      <c r="K8" s="371">
        <f>J8-J24</f>
        <v>1550</v>
      </c>
    </row>
    <row r="9" spans="1:11">
      <c r="A9" s="227"/>
      <c r="B9" s="456" t="s">
        <v>4</v>
      </c>
      <c r="C9" s="457"/>
      <c r="D9" s="242">
        <v>13000</v>
      </c>
      <c r="E9" s="243"/>
      <c r="F9" s="243"/>
      <c r="G9" s="244">
        <v>5000</v>
      </c>
      <c r="H9" s="245"/>
      <c r="I9" s="238"/>
      <c r="J9" s="246">
        <f t="shared" si="0"/>
        <v>18000</v>
      </c>
    </row>
    <row r="10" spans="1:11">
      <c r="A10" s="227"/>
      <c r="B10" s="644" t="s">
        <v>19</v>
      </c>
      <c r="C10" s="458" t="s">
        <v>12</v>
      </c>
      <c r="D10" s="242">
        <v>290000</v>
      </c>
      <c r="E10" s="243"/>
      <c r="F10" s="243"/>
      <c r="G10" s="244">
        <v>4000</v>
      </c>
      <c r="H10" s="245">
        <v>5552</v>
      </c>
      <c r="I10" s="238"/>
      <c r="J10" s="246">
        <f t="shared" si="0"/>
        <v>299552</v>
      </c>
      <c r="K10" s="371">
        <f>J10-J26</f>
        <v>4463</v>
      </c>
    </row>
    <row r="11" spans="1:11">
      <c r="A11" s="227"/>
      <c r="B11" s="645"/>
      <c r="C11" s="458" t="s">
        <v>13</v>
      </c>
      <c r="D11" s="242">
        <v>74000</v>
      </c>
      <c r="E11" s="243"/>
      <c r="F11" s="243"/>
      <c r="G11" s="244">
        <v>9000</v>
      </c>
      <c r="H11" s="245">
        <v>30117</v>
      </c>
      <c r="I11" s="238"/>
      <c r="J11" s="246">
        <f t="shared" si="0"/>
        <v>113117</v>
      </c>
      <c r="K11" s="371">
        <f>J11-J27</f>
        <v>3567</v>
      </c>
    </row>
    <row r="12" spans="1:11">
      <c r="A12" s="227"/>
      <c r="B12" s="645"/>
      <c r="C12" s="458" t="s">
        <v>14</v>
      </c>
      <c r="D12" s="242">
        <v>55384</v>
      </c>
      <c r="E12" s="243"/>
      <c r="F12" s="243"/>
      <c r="G12" s="244">
        <v>4000</v>
      </c>
      <c r="H12" s="245"/>
      <c r="I12" s="238"/>
      <c r="J12" s="246">
        <f t="shared" si="0"/>
        <v>59384</v>
      </c>
      <c r="K12" s="371">
        <f>J12-J28</f>
        <v>0</v>
      </c>
    </row>
    <row r="13" spans="1:11">
      <c r="A13" s="227"/>
      <c r="B13" s="645"/>
      <c r="C13" s="459" t="s">
        <v>15</v>
      </c>
      <c r="D13" s="249">
        <f>SUM(D10:D12)</f>
        <v>419384</v>
      </c>
      <c r="E13" s="243">
        <f>SUM(E10:E12)</f>
        <v>0</v>
      </c>
      <c r="F13" s="243">
        <f>SUM(F10:F12)</f>
        <v>0</v>
      </c>
      <c r="G13" s="243">
        <f>SUM(G10:G12)</f>
        <v>17000</v>
      </c>
      <c r="H13" s="250">
        <f>SUM(H10:H12)</f>
        <v>35669</v>
      </c>
      <c r="I13" s="238"/>
      <c r="J13" s="246">
        <f t="shared" si="0"/>
        <v>472053</v>
      </c>
    </row>
    <row r="14" spans="1:11" ht="31" thickBot="1">
      <c r="A14" s="227"/>
      <c r="B14" s="460" t="s">
        <v>18</v>
      </c>
      <c r="C14" s="461"/>
      <c r="D14" s="462">
        <f>D8*0.81</f>
        <v>437400</v>
      </c>
      <c r="E14" s="254"/>
      <c r="F14" s="254"/>
      <c r="G14" s="253">
        <f>G8*0.81</f>
        <v>90882</v>
      </c>
      <c r="H14" s="255">
        <f>H8*0.81</f>
        <v>25515</v>
      </c>
      <c r="I14" s="238"/>
      <c r="J14" s="256">
        <f t="shared" si="0"/>
        <v>553797</v>
      </c>
    </row>
    <row r="15" spans="1:11" ht="16" thickBot="1">
      <c r="A15" s="227"/>
      <c r="B15" s="463"/>
      <c r="C15" s="464"/>
      <c r="D15" s="259"/>
      <c r="E15" s="259"/>
      <c r="F15" s="259"/>
      <c r="G15" s="259"/>
      <c r="H15" s="259"/>
      <c r="I15" s="238"/>
      <c r="J15" s="238"/>
    </row>
    <row r="16" spans="1:11" ht="27" customHeight="1">
      <c r="A16" s="227"/>
      <c r="B16" s="465" t="s">
        <v>6</v>
      </c>
      <c r="C16" s="466"/>
      <c r="D16" s="262">
        <f>D8+D9+D13+D14</f>
        <v>1409784</v>
      </c>
      <c r="E16" s="263">
        <f>E8+E9+E13+E14</f>
        <v>0</v>
      </c>
      <c r="F16" s="263">
        <f>F8+F9+F13+F14</f>
        <v>0</v>
      </c>
      <c r="G16" s="263">
        <f>G8+G9+G13+G14</f>
        <v>225082</v>
      </c>
      <c r="H16" s="264">
        <f>H8+H9+H13+H14</f>
        <v>92684</v>
      </c>
      <c r="I16" s="238"/>
      <c r="J16" s="239">
        <f>J8+J9+J13+J14</f>
        <v>1727550</v>
      </c>
      <c r="K16" s="371">
        <f>J16-J32</f>
        <v>10835.5</v>
      </c>
    </row>
    <row r="17" spans="1:12" ht="31" thickBot="1">
      <c r="A17" s="227"/>
      <c r="B17" s="467" t="s">
        <v>11</v>
      </c>
      <c r="C17" s="468"/>
      <c r="D17" s="267">
        <f>D16*75%</f>
        <v>1057338</v>
      </c>
      <c r="E17" s="268">
        <f>E16*50%</f>
        <v>0</v>
      </c>
      <c r="F17" s="268">
        <f>F16*100%</f>
        <v>0</v>
      </c>
      <c r="G17" s="268">
        <f>G16*100%</f>
        <v>225082</v>
      </c>
      <c r="H17" s="269">
        <f>H16*100%</f>
        <v>92684</v>
      </c>
      <c r="I17" s="238"/>
      <c r="J17" s="256">
        <f>SUM(D17:H17)</f>
        <v>1375104</v>
      </c>
      <c r="K17" s="371">
        <f>J17-J33</f>
        <v>8126.625</v>
      </c>
      <c r="L17" t="s">
        <v>182</v>
      </c>
    </row>
    <row r="18" spans="1:12" ht="30" customHeight="1">
      <c r="A18" s="270" t="s">
        <v>20</v>
      </c>
      <c r="B18" s="270"/>
      <c r="C18" s="227"/>
      <c r="D18" s="271"/>
      <c r="E18" s="271"/>
      <c r="F18" s="271"/>
      <c r="G18" s="271"/>
      <c r="H18" s="271"/>
      <c r="I18" s="272"/>
      <c r="J18" s="273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B20" s="347"/>
      <c r="C20" s="347"/>
      <c r="D20" s="348"/>
      <c r="E20" s="348"/>
      <c r="F20" s="348"/>
      <c r="G20" s="348"/>
      <c r="H20" s="445">
        <v>42307</v>
      </c>
      <c r="I20" s="349"/>
      <c r="J20" s="350"/>
    </row>
    <row r="21" spans="1:12">
      <c r="A21" s="226" t="s">
        <v>186</v>
      </c>
      <c r="B21" s="227"/>
      <c r="C21" s="227"/>
      <c r="D21" s="228"/>
      <c r="E21" s="228"/>
      <c r="F21" s="228"/>
      <c r="G21" s="228"/>
      <c r="H21" s="228"/>
      <c r="I21" s="229"/>
      <c r="J21" s="227"/>
    </row>
    <row r="22" spans="1:12" ht="30">
      <c r="A22" s="227"/>
      <c r="B22" s="227"/>
      <c r="C22" s="227"/>
      <c r="D22" s="230" t="s">
        <v>8</v>
      </c>
      <c r="E22" s="230" t="s">
        <v>2</v>
      </c>
      <c r="F22" s="230" t="s">
        <v>3</v>
      </c>
      <c r="G22" s="230" t="s">
        <v>9</v>
      </c>
      <c r="H22" s="230" t="s">
        <v>10</v>
      </c>
      <c r="I22" s="229"/>
      <c r="J22" s="231" t="s">
        <v>7</v>
      </c>
    </row>
    <row r="23" spans="1:12" ht="16" thickBot="1">
      <c r="A23" s="227"/>
      <c r="B23" s="227"/>
      <c r="C23" s="227"/>
      <c r="D23" s="231"/>
      <c r="E23" s="231"/>
      <c r="F23" s="231"/>
      <c r="G23" s="231"/>
      <c r="H23" s="231"/>
      <c r="I23" s="229"/>
      <c r="J23" s="227"/>
    </row>
    <row r="24" spans="1:12">
      <c r="A24" s="227"/>
      <c r="B24" s="454" t="s">
        <v>5</v>
      </c>
      <c r="C24" s="455"/>
      <c r="D24" s="234">
        <v>538450</v>
      </c>
      <c r="E24" s="235"/>
      <c r="F24" s="235"/>
      <c r="G24" s="236">
        <v>112200</v>
      </c>
      <c r="H24" s="237">
        <v>31500</v>
      </c>
      <c r="I24" s="238"/>
      <c r="J24" s="239">
        <f t="shared" ref="J24:J30" si="1">SUM(D24:H24)</f>
        <v>682150</v>
      </c>
      <c r="K24" s="371">
        <f>J24-J40</f>
        <v>23100</v>
      </c>
    </row>
    <row r="25" spans="1:12">
      <c r="A25" s="227"/>
      <c r="B25" s="547" t="s">
        <v>4</v>
      </c>
      <c r="C25" s="457"/>
      <c r="D25" s="242">
        <v>13000</v>
      </c>
      <c r="E25" s="243"/>
      <c r="F25" s="243"/>
      <c r="G25" s="244">
        <v>5000</v>
      </c>
      <c r="H25" s="245"/>
      <c r="I25" s="238"/>
      <c r="J25" s="246">
        <f t="shared" si="1"/>
        <v>18000</v>
      </c>
    </row>
    <row r="26" spans="1:12" ht="15" customHeight="1">
      <c r="A26" s="227"/>
      <c r="B26" s="644" t="s">
        <v>19</v>
      </c>
      <c r="C26" s="458" t="s">
        <v>12</v>
      </c>
      <c r="D26" s="242">
        <v>285537</v>
      </c>
      <c r="E26" s="243"/>
      <c r="F26" s="243"/>
      <c r="G26" s="244">
        <v>4000</v>
      </c>
      <c r="H26" s="245">
        <v>5552</v>
      </c>
      <c r="I26" s="238"/>
      <c r="J26" s="246">
        <f t="shared" si="1"/>
        <v>295089</v>
      </c>
      <c r="K26" s="371">
        <f>J26-J42</f>
        <v>800</v>
      </c>
    </row>
    <row r="27" spans="1:12">
      <c r="A27" s="227"/>
      <c r="B27" s="645"/>
      <c r="C27" s="458" t="s">
        <v>13</v>
      </c>
      <c r="D27" s="242">
        <v>70433</v>
      </c>
      <c r="E27" s="243"/>
      <c r="F27" s="243"/>
      <c r="G27" s="244">
        <v>9000</v>
      </c>
      <c r="H27" s="245">
        <v>30117</v>
      </c>
      <c r="I27" s="238"/>
      <c r="J27" s="246">
        <f t="shared" si="1"/>
        <v>109550</v>
      </c>
      <c r="K27" s="371">
        <f>J27-J43</f>
        <v>21137</v>
      </c>
    </row>
    <row r="28" spans="1:12">
      <c r="A28" s="227"/>
      <c r="B28" s="645"/>
      <c r="C28" s="458" t="s">
        <v>14</v>
      </c>
      <c r="D28" s="242">
        <v>55384</v>
      </c>
      <c r="E28" s="243"/>
      <c r="F28" s="243"/>
      <c r="G28" s="244">
        <v>4000</v>
      </c>
      <c r="H28" s="245"/>
      <c r="I28" s="238"/>
      <c r="J28" s="246">
        <f t="shared" si="1"/>
        <v>59384</v>
      </c>
      <c r="K28" s="371">
        <f>J28-J44</f>
        <v>1953</v>
      </c>
    </row>
    <row r="29" spans="1:12">
      <c r="A29" s="227"/>
      <c r="B29" s="645"/>
      <c r="C29" s="459" t="s">
        <v>15</v>
      </c>
      <c r="D29" s="249">
        <f>SUM(D26:D28)</f>
        <v>411354</v>
      </c>
      <c r="E29" s="243">
        <f>SUM(E26:E28)</f>
        <v>0</v>
      </c>
      <c r="F29" s="243">
        <f>SUM(F26:F28)</f>
        <v>0</v>
      </c>
      <c r="G29" s="243">
        <f>SUM(G26:G28)</f>
        <v>17000</v>
      </c>
      <c r="H29" s="250">
        <f>SUM(H26:H28)</f>
        <v>35669</v>
      </c>
      <c r="I29" s="238"/>
      <c r="J29" s="246">
        <f t="shared" si="1"/>
        <v>464023</v>
      </c>
    </row>
    <row r="30" spans="1:12" ht="31" thickBot="1">
      <c r="A30" s="227"/>
      <c r="B30" s="460" t="s">
        <v>18</v>
      </c>
      <c r="C30" s="461"/>
      <c r="D30" s="462">
        <f>D24*0.81</f>
        <v>436144.5</v>
      </c>
      <c r="E30" s="254"/>
      <c r="F30" s="254"/>
      <c r="G30" s="253">
        <f>G24*0.81</f>
        <v>90882</v>
      </c>
      <c r="H30" s="255">
        <f>H24*0.81</f>
        <v>25515</v>
      </c>
      <c r="I30" s="238"/>
      <c r="J30" s="256">
        <f t="shared" si="1"/>
        <v>552541.5</v>
      </c>
    </row>
    <row r="31" spans="1:12" ht="16" thickBot="1">
      <c r="A31" s="227"/>
      <c r="B31" s="463"/>
      <c r="C31" s="464"/>
      <c r="D31" s="259"/>
      <c r="E31" s="259"/>
      <c r="F31" s="259"/>
      <c r="G31" s="259"/>
      <c r="H31" s="259"/>
      <c r="I31" s="238"/>
      <c r="J31" s="238"/>
    </row>
    <row r="32" spans="1:12">
      <c r="A32" s="227"/>
      <c r="B32" s="465" t="s">
        <v>6</v>
      </c>
      <c r="C32" s="466"/>
      <c r="D32" s="262">
        <f>D24+D25+D29+D30</f>
        <v>1398948.5</v>
      </c>
      <c r="E32" s="263">
        <f>E24+E25+E29+E30</f>
        <v>0</v>
      </c>
      <c r="F32" s="263">
        <f>F24+F25+F29+F30</f>
        <v>0</v>
      </c>
      <c r="G32" s="263">
        <f>G24+G25+G29+G30</f>
        <v>225082</v>
      </c>
      <c r="H32" s="264">
        <f>H24+H25+H29+H30</f>
        <v>92684</v>
      </c>
      <c r="I32" s="238"/>
      <c r="J32" s="239">
        <f>J24+J25+J29+J30</f>
        <v>1716714.5</v>
      </c>
      <c r="K32" s="371">
        <f>J32-J48</f>
        <v>65701</v>
      </c>
    </row>
    <row r="33" spans="1:12" ht="31" thickBot="1">
      <c r="A33" s="227"/>
      <c r="B33" s="467" t="s">
        <v>11</v>
      </c>
      <c r="C33" s="468"/>
      <c r="D33" s="267">
        <f>D32*75%</f>
        <v>1049211.375</v>
      </c>
      <c r="E33" s="268">
        <f>E32*50%</f>
        <v>0</v>
      </c>
      <c r="F33" s="268">
        <f>F32*100%</f>
        <v>0</v>
      </c>
      <c r="G33" s="268">
        <f>G32*100%</f>
        <v>225082</v>
      </c>
      <c r="H33" s="269">
        <f>H32*100%</f>
        <v>92684</v>
      </c>
      <c r="I33" s="238"/>
      <c r="J33" s="256">
        <f>SUM(D33:H33)</f>
        <v>1366977.375</v>
      </c>
      <c r="K33" s="371">
        <f>J33-J49</f>
        <v>54703.75</v>
      </c>
      <c r="L33" t="s">
        <v>182</v>
      </c>
    </row>
    <row r="34" spans="1:12">
      <c r="A34" s="270" t="s">
        <v>20</v>
      </c>
      <c r="B34" s="270"/>
      <c r="C34" s="227"/>
      <c r="D34" s="271"/>
      <c r="E34" s="271"/>
      <c r="F34" s="271"/>
      <c r="G34" s="271"/>
      <c r="H34" s="271"/>
      <c r="I34" s="272"/>
      <c r="J34" s="273"/>
    </row>
    <row r="35" spans="1:12">
      <c r="D35" s="44"/>
      <c r="E35" s="44"/>
      <c r="F35" s="44"/>
      <c r="G35" s="44"/>
      <c r="H35" s="44"/>
      <c r="I35" s="45"/>
      <c r="J35" s="46"/>
    </row>
    <row r="36" spans="1:12">
      <c r="B36" s="347"/>
      <c r="C36" s="347"/>
      <c r="D36" s="348"/>
      <c r="E36" s="348"/>
      <c r="F36" s="348"/>
      <c r="G36" s="348"/>
      <c r="H36" s="348"/>
      <c r="I36" s="349"/>
      <c r="J36" s="350"/>
    </row>
    <row r="37" spans="1:12">
      <c r="B37" s="8"/>
      <c r="C37" s="8"/>
      <c r="D37" s="9"/>
      <c r="E37" s="9"/>
      <c r="F37" s="9"/>
      <c r="G37" s="9"/>
      <c r="H37" s="9"/>
      <c r="I37" s="15"/>
      <c r="J37" s="8"/>
    </row>
    <row r="38" spans="1:12" ht="30">
      <c r="A38" s="205" t="s">
        <v>180</v>
      </c>
      <c r="B38" s="8"/>
      <c r="C38" s="8"/>
      <c r="D38" s="10" t="s">
        <v>8</v>
      </c>
      <c r="E38" s="10" t="s">
        <v>2</v>
      </c>
      <c r="F38" s="10" t="s">
        <v>3</v>
      </c>
      <c r="G38" s="10" t="s">
        <v>9</v>
      </c>
      <c r="H38" s="10" t="s">
        <v>10</v>
      </c>
      <c r="I38" s="15"/>
      <c r="J38" s="11" t="s">
        <v>7</v>
      </c>
    </row>
    <row r="39" spans="1:12" ht="16" thickBot="1">
      <c r="A39" s="8"/>
      <c r="B39" s="8"/>
      <c r="C39" s="8"/>
      <c r="D39" s="11"/>
      <c r="E39" s="11"/>
      <c r="F39" s="11"/>
      <c r="G39" s="11"/>
      <c r="H39" s="11"/>
      <c r="I39" s="15"/>
      <c r="J39" s="8"/>
    </row>
    <row r="40" spans="1:12">
      <c r="A40" s="8"/>
      <c r="B40" s="101" t="s">
        <v>5</v>
      </c>
      <c r="C40" s="102"/>
      <c r="D40" s="16">
        <v>522850</v>
      </c>
      <c r="E40" s="17"/>
      <c r="F40" s="17"/>
      <c r="G40" s="18">
        <v>112200</v>
      </c>
      <c r="H40" s="19">
        <v>24000</v>
      </c>
      <c r="I40" s="20"/>
      <c r="J40" s="21">
        <f t="shared" ref="J40:J46" si="2">SUM(D40:H40)</f>
        <v>659050</v>
      </c>
    </row>
    <row r="41" spans="1:12">
      <c r="A41" s="8"/>
      <c r="B41" s="548" t="s">
        <v>4</v>
      </c>
      <c r="C41" s="86"/>
      <c r="D41" s="22">
        <v>13000</v>
      </c>
      <c r="E41" s="23"/>
      <c r="F41" s="23"/>
      <c r="G41" s="24">
        <v>5000</v>
      </c>
      <c r="H41" s="25"/>
      <c r="I41" s="20"/>
      <c r="J41" s="26">
        <f t="shared" si="2"/>
        <v>18000</v>
      </c>
    </row>
    <row r="42" spans="1:12" ht="30">
      <c r="A42" s="8"/>
      <c r="B42" s="548" t="s">
        <v>19</v>
      </c>
      <c r="C42" s="87" t="s">
        <v>12</v>
      </c>
      <c r="D42" s="22">
        <v>284737</v>
      </c>
      <c r="E42" s="23"/>
      <c r="F42" s="23"/>
      <c r="G42" s="24">
        <v>4000</v>
      </c>
      <c r="H42" s="25">
        <v>5552</v>
      </c>
      <c r="I42" s="20"/>
      <c r="J42" s="26">
        <f t="shared" si="2"/>
        <v>294289</v>
      </c>
    </row>
    <row r="43" spans="1:12">
      <c r="A43" s="8"/>
      <c r="B43" s="549"/>
      <c r="C43" s="87" t="s">
        <v>13</v>
      </c>
      <c r="D43" s="22">
        <v>57433</v>
      </c>
      <c r="E43" s="23"/>
      <c r="F43" s="23"/>
      <c r="G43" s="24">
        <v>9000</v>
      </c>
      <c r="H43" s="25">
        <v>21980</v>
      </c>
      <c r="I43" s="20"/>
      <c r="J43" s="26">
        <f t="shared" si="2"/>
        <v>88413</v>
      </c>
    </row>
    <row r="44" spans="1:12">
      <c r="A44" s="8"/>
      <c r="B44" s="549"/>
      <c r="C44" s="87" t="s">
        <v>14</v>
      </c>
      <c r="D44" s="22">
        <v>53431</v>
      </c>
      <c r="E44" s="23"/>
      <c r="F44" s="23"/>
      <c r="G44" s="24">
        <v>4000</v>
      </c>
      <c r="H44" s="25"/>
      <c r="I44" s="20"/>
      <c r="J44" s="26">
        <f t="shared" si="2"/>
        <v>57431</v>
      </c>
    </row>
    <row r="45" spans="1:12">
      <c r="A45" s="8"/>
      <c r="B45" s="549"/>
      <c r="C45" s="88" t="s">
        <v>15</v>
      </c>
      <c r="D45" s="27">
        <f>SUM(D42:D44)</f>
        <v>395601</v>
      </c>
      <c r="E45" s="23">
        <f>SUM(E42:E44)</f>
        <v>0</v>
      </c>
      <c r="F45" s="23">
        <f>SUM(F42:F44)</f>
        <v>0</v>
      </c>
      <c r="G45" s="23">
        <f>SUM(G42:G44)</f>
        <v>17000</v>
      </c>
      <c r="H45" s="28">
        <f>SUM(H42:H44)</f>
        <v>27532</v>
      </c>
      <c r="I45" s="20"/>
      <c r="J45" s="26">
        <f t="shared" si="2"/>
        <v>440133</v>
      </c>
    </row>
    <row r="46" spans="1:12" ht="31" thickBot="1">
      <c r="A46" s="8"/>
      <c r="B46" s="104" t="s">
        <v>18</v>
      </c>
      <c r="C46" s="105"/>
      <c r="D46" s="29">
        <f>D40*0.81</f>
        <v>423508.5</v>
      </c>
      <c r="E46" s="30"/>
      <c r="F46" s="30"/>
      <c r="G46" s="31">
        <f>G40*0.81</f>
        <v>90882</v>
      </c>
      <c r="H46" s="32">
        <f>H40*0.81</f>
        <v>19440</v>
      </c>
      <c r="I46" s="20"/>
      <c r="J46" s="33">
        <f t="shared" si="2"/>
        <v>533830.5</v>
      </c>
    </row>
    <row r="47" spans="1:12" ht="16" thickBot="1">
      <c r="A47" s="8"/>
      <c r="B47" s="12"/>
      <c r="C47" s="13"/>
      <c r="D47" s="34"/>
      <c r="E47" s="34"/>
      <c r="F47" s="34"/>
      <c r="G47" s="34"/>
      <c r="H47" s="34"/>
      <c r="I47" s="20"/>
      <c r="J47" s="20"/>
    </row>
    <row r="48" spans="1:12">
      <c r="A48" s="8"/>
      <c r="B48" s="106" t="s">
        <v>6</v>
      </c>
      <c r="C48" s="107"/>
      <c r="D48" s="35">
        <f>D40+D41+D45+D46</f>
        <v>1354959.5</v>
      </c>
      <c r="E48" s="36">
        <f>E40+E41+E45+E46</f>
        <v>0</v>
      </c>
      <c r="F48" s="36">
        <f>F40+F41+F45+F46</f>
        <v>0</v>
      </c>
      <c r="G48" s="36">
        <f>G40+G41+G45+G46</f>
        <v>225082</v>
      </c>
      <c r="H48" s="37">
        <f>H40+H41+H45+H46</f>
        <v>70972</v>
      </c>
      <c r="I48" s="20"/>
      <c r="J48" s="21">
        <f>J40+J41+J45+J46</f>
        <v>1651013.5</v>
      </c>
    </row>
    <row r="49" spans="1:10" ht="31" thickBot="1">
      <c r="A49" s="8"/>
      <c r="B49" s="108" t="s">
        <v>11</v>
      </c>
      <c r="C49" s="109"/>
      <c r="D49" s="38">
        <f>D48*75%</f>
        <v>1016219.625</v>
      </c>
      <c r="E49" s="39">
        <f>E48*50%</f>
        <v>0</v>
      </c>
      <c r="F49" s="39">
        <f>F48*100%</f>
        <v>0</v>
      </c>
      <c r="G49" s="39">
        <f>G48*100%</f>
        <v>225082</v>
      </c>
      <c r="H49" s="40">
        <f>H48*100%</f>
        <v>70972</v>
      </c>
      <c r="I49" s="20"/>
      <c r="J49" s="33">
        <f>SUM(D49:H49)</f>
        <v>1312273.625</v>
      </c>
    </row>
    <row r="50" spans="1:10">
      <c r="A50" s="47" t="s">
        <v>20</v>
      </c>
      <c r="B50" s="47"/>
      <c r="C50" s="8"/>
      <c r="D50" s="41"/>
      <c r="E50" s="41"/>
      <c r="F50" s="41"/>
      <c r="G50" s="41"/>
      <c r="H50" s="41"/>
      <c r="I50" s="42"/>
      <c r="J50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J20"/>
  <sheetViews>
    <sheetView workbookViewId="0">
      <selection activeCell="A44" sqref="A4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47</v>
      </c>
      <c r="C3" s="110"/>
      <c r="H3" s="194"/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71000</v>
      </c>
      <c r="E8" s="17"/>
      <c r="F8" s="17"/>
      <c r="G8" s="18">
        <v>1000</v>
      </c>
      <c r="H8" s="19"/>
      <c r="I8" s="20"/>
      <c r="J8" s="21">
        <f t="shared" ref="J8:J14" si="0">SUM(D8:H8)</f>
        <v>72000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32500</v>
      </c>
      <c r="E10" s="23"/>
      <c r="F10" s="23"/>
      <c r="G10" s="24">
        <v>4650</v>
      </c>
      <c r="H10" s="25"/>
      <c r="I10" s="20"/>
      <c r="J10" s="26">
        <f t="shared" si="0"/>
        <v>37150</v>
      </c>
    </row>
    <row r="11" spans="1:10">
      <c r="A11" s="8"/>
      <c r="B11" s="647"/>
      <c r="C11" s="87" t="s">
        <v>13</v>
      </c>
      <c r="D11" s="22">
        <v>11000</v>
      </c>
      <c r="E11" s="23"/>
      <c r="F11" s="23"/>
      <c r="G11" s="24"/>
      <c r="H11" s="25"/>
      <c r="I11" s="20"/>
      <c r="J11" s="26">
        <f t="shared" si="0"/>
        <v>11000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43500</v>
      </c>
      <c r="E13" s="23">
        <f>SUM(E10:E12)</f>
        <v>0</v>
      </c>
      <c r="F13" s="23">
        <f>SUM(F10:F12)</f>
        <v>0</v>
      </c>
      <c r="G13" s="23">
        <f>SUM(G10:G12)</f>
        <v>4650</v>
      </c>
      <c r="H13" s="28">
        <f>SUM(H10:H12)</f>
        <v>0</v>
      </c>
      <c r="I13" s="20"/>
      <c r="J13" s="26">
        <f t="shared" si="0"/>
        <v>48150</v>
      </c>
    </row>
    <row r="14" spans="1:10" ht="31" thickBot="1">
      <c r="A14" s="8"/>
      <c r="B14" s="104" t="s">
        <v>18</v>
      </c>
      <c r="C14" s="105" t="s">
        <v>129</v>
      </c>
      <c r="D14" s="29">
        <f>(D13+D8)*60%</f>
        <v>68700</v>
      </c>
      <c r="E14" s="30"/>
      <c r="F14" s="30"/>
      <c r="G14" s="29">
        <f>(G13+G8)*60%</f>
        <v>3390</v>
      </c>
      <c r="H14" s="29">
        <f>(H13+H8)*60%</f>
        <v>0</v>
      </c>
      <c r="I14" s="20"/>
      <c r="J14" s="33">
        <f t="shared" si="0"/>
        <v>72090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183200</v>
      </c>
      <c r="E16" s="36">
        <f>E8+E9+E13+E14</f>
        <v>0</v>
      </c>
      <c r="F16" s="36">
        <f>F8+F9+F13+F14</f>
        <v>0</v>
      </c>
      <c r="G16" s="36">
        <f>G8+G9+G13+G14</f>
        <v>9040</v>
      </c>
      <c r="H16" s="37">
        <f>H8+H9+H13+H14</f>
        <v>0</v>
      </c>
      <c r="I16" s="20"/>
      <c r="J16" s="21">
        <f>J8+J9+J13+J14</f>
        <v>192240</v>
      </c>
    </row>
    <row r="17" spans="1:10" ht="31" thickBot="1">
      <c r="A17" s="8"/>
      <c r="B17" s="108" t="s">
        <v>11</v>
      </c>
      <c r="C17" s="109"/>
      <c r="D17" s="38">
        <f>D16*75%</f>
        <v>137400</v>
      </c>
      <c r="E17" s="39">
        <f>E16*50%</f>
        <v>0</v>
      </c>
      <c r="F17" s="39">
        <f>F16*100%</f>
        <v>0</v>
      </c>
      <c r="G17" s="39">
        <f>G16*100%</f>
        <v>9040</v>
      </c>
      <c r="H17" s="40">
        <f>H16*100%</f>
        <v>0</v>
      </c>
      <c r="I17" s="20"/>
      <c r="J17" s="33">
        <f>SUM(D17:H17)</f>
        <v>146440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0">
      <c r="D19" s="44"/>
      <c r="E19" s="44"/>
      <c r="F19" s="44"/>
      <c r="G19" s="44"/>
      <c r="H19" s="44"/>
      <c r="I19" s="45"/>
      <c r="J19" s="46"/>
    </row>
    <row r="20" spans="1:10">
      <c r="D20" s="44"/>
      <c r="E20" s="44"/>
      <c r="F20" s="44"/>
      <c r="G20" s="44"/>
      <c r="H20" s="44"/>
      <c r="I20" s="45"/>
      <c r="J20" s="46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34"/>
  <sheetViews>
    <sheetView workbookViewId="0">
      <selection activeCell="AJ17" sqref="AJ17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3" ht="16">
      <c r="A1" s="1" t="s">
        <v>0</v>
      </c>
    </row>
    <row r="2" spans="1:13" ht="16">
      <c r="A2" s="1" t="s">
        <v>1</v>
      </c>
    </row>
    <row r="3" spans="1:13" ht="16">
      <c r="A3" s="6" t="s">
        <v>23</v>
      </c>
      <c r="B3" s="7" t="s">
        <v>46</v>
      </c>
      <c r="C3" s="110"/>
      <c r="H3" s="445">
        <v>42654</v>
      </c>
    </row>
    <row r="4" spans="1:13">
      <c r="G4" s="5"/>
      <c r="H4" s="4"/>
    </row>
    <row r="5" spans="1:13">
      <c r="A5" s="48" t="s">
        <v>196</v>
      </c>
      <c r="B5" s="8"/>
      <c r="C5" s="8"/>
      <c r="D5" s="9"/>
      <c r="E5" s="9"/>
      <c r="F5" s="9"/>
      <c r="G5" s="9"/>
      <c r="H5" s="9"/>
      <c r="I5" s="15"/>
      <c r="J5" s="8"/>
    </row>
    <row r="6" spans="1:13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3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3">
      <c r="A8" s="8"/>
      <c r="B8" s="101" t="s">
        <v>5</v>
      </c>
      <c r="C8" s="102"/>
      <c r="D8" s="16">
        <v>53076</v>
      </c>
      <c r="E8" s="17"/>
      <c r="F8" s="17"/>
      <c r="G8" s="18">
        <v>1052</v>
      </c>
      <c r="H8" s="19"/>
      <c r="I8" s="20"/>
      <c r="J8" s="21">
        <f t="shared" ref="J8:J14" si="0">SUM(D8:H8)</f>
        <v>54128</v>
      </c>
      <c r="L8" s="541">
        <v>90371</v>
      </c>
      <c r="M8" t="s">
        <v>198</v>
      </c>
    </row>
    <row r="9" spans="1:13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  <c r="M9" t="s">
        <v>199</v>
      </c>
    </row>
    <row r="10" spans="1:13">
      <c r="A10" s="8"/>
      <c r="B10" s="646" t="s">
        <v>19</v>
      </c>
      <c r="C10" s="87" t="s">
        <v>12</v>
      </c>
      <c r="D10" s="22">
        <v>19863</v>
      </c>
      <c r="E10" s="23"/>
      <c r="F10" s="23"/>
      <c r="G10" s="24"/>
      <c r="H10" s="25"/>
      <c r="I10" s="20"/>
      <c r="J10" s="26">
        <f t="shared" si="0"/>
        <v>19863</v>
      </c>
      <c r="M10" t="s">
        <v>200</v>
      </c>
    </row>
    <row r="11" spans="1:13">
      <c r="A11" s="8"/>
      <c r="B11" s="647"/>
      <c r="C11" s="87" t="s">
        <v>13</v>
      </c>
      <c r="D11" s="22">
        <v>1525</v>
      </c>
      <c r="E11" s="23"/>
      <c r="F11" s="23"/>
      <c r="G11" s="24">
        <v>785</v>
      </c>
      <c r="H11" s="25"/>
      <c r="I11" s="20"/>
      <c r="J11" s="26">
        <f t="shared" si="0"/>
        <v>2310</v>
      </c>
    </row>
    <row r="12" spans="1:13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3">
      <c r="A13" s="8"/>
      <c r="B13" s="647"/>
      <c r="C13" s="88" t="s">
        <v>15</v>
      </c>
      <c r="D13" s="27">
        <f>SUM(D10:D12)</f>
        <v>21388</v>
      </c>
      <c r="E13" s="23">
        <f>SUM(E10:E12)</f>
        <v>0</v>
      </c>
      <c r="F13" s="23">
        <f>SUM(F10:F12)</f>
        <v>0</v>
      </c>
      <c r="G13" s="23">
        <f>SUM(G10:G12)</f>
        <v>785</v>
      </c>
      <c r="H13" s="28">
        <f>SUM(H10:H12)</f>
        <v>0</v>
      </c>
      <c r="I13" s="20"/>
      <c r="J13" s="26">
        <f t="shared" si="0"/>
        <v>22173</v>
      </c>
    </row>
    <row r="14" spans="1:13" ht="46" thickBot="1">
      <c r="A14" s="8"/>
      <c r="B14" s="104" t="s">
        <v>18</v>
      </c>
      <c r="C14" s="341" t="s">
        <v>136</v>
      </c>
      <c r="D14" s="550">
        <f>D8*80%</f>
        <v>42460.800000000003</v>
      </c>
      <c r="E14" s="30"/>
      <c r="F14" s="30"/>
      <c r="G14" s="550">
        <f>G8*80%</f>
        <v>841.6</v>
      </c>
      <c r="H14" s="32"/>
      <c r="I14" s="20"/>
      <c r="J14" s="33">
        <f t="shared" si="0"/>
        <v>43302.400000000001</v>
      </c>
      <c r="M14" s="447" t="s">
        <v>210</v>
      </c>
    </row>
    <row r="15" spans="1:13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3">
      <c r="A16" s="8"/>
      <c r="B16" s="106" t="s">
        <v>6</v>
      </c>
      <c r="C16" s="107"/>
      <c r="D16" s="35">
        <f>D8+D9+D13+D14</f>
        <v>116924.8</v>
      </c>
      <c r="E16" s="36">
        <f>E8+E9+E13+E14</f>
        <v>0</v>
      </c>
      <c r="F16" s="36">
        <f>F8+F9+F13+F14</f>
        <v>0</v>
      </c>
      <c r="G16" s="36">
        <f>G8+G9+G13+G14</f>
        <v>2678.6</v>
      </c>
      <c r="H16" s="37">
        <f>H8+H9+H13+H14</f>
        <v>0</v>
      </c>
      <c r="I16" s="20"/>
      <c r="J16" s="21">
        <f>J8+J9+J13+J14</f>
        <v>119603.4</v>
      </c>
    </row>
    <row r="17" spans="1:12" ht="31" thickBot="1">
      <c r="A17" s="8"/>
      <c r="B17" s="108" t="s">
        <v>11</v>
      </c>
      <c r="C17" s="109"/>
      <c r="D17" s="38">
        <f>D16*75%</f>
        <v>87693.6</v>
      </c>
      <c r="E17" s="39">
        <f>E16*50%</f>
        <v>0</v>
      </c>
      <c r="F17" s="39">
        <f>F16*100%</f>
        <v>0</v>
      </c>
      <c r="G17" s="39">
        <f>G16*100%</f>
        <v>2678.6</v>
      </c>
      <c r="H17" s="40">
        <f>H16*100%</f>
        <v>0</v>
      </c>
      <c r="I17" s="20"/>
      <c r="J17" s="33">
        <f>SUM(D17:H17)</f>
        <v>90372.200000000012</v>
      </c>
      <c r="K17" s="450">
        <f>J17-J33</f>
        <v>-141440.79999999999</v>
      </c>
      <c r="L17" s="451" t="s">
        <v>182</v>
      </c>
    </row>
    <row r="18" spans="1:12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D20" s="44"/>
      <c r="E20" s="44"/>
      <c r="F20" s="44"/>
      <c r="G20" s="44"/>
      <c r="H20" s="194" t="s">
        <v>150</v>
      </c>
      <c r="I20" s="45"/>
      <c r="J20" s="46"/>
    </row>
    <row r="21" spans="1:12">
      <c r="A21" s="205" t="s">
        <v>195</v>
      </c>
      <c r="B21" s="206"/>
      <c r="C21" s="206"/>
      <c r="D21" s="207"/>
      <c r="E21" s="207"/>
      <c r="F21" s="207"/>
      <c r="G21" s="207"/>
      <c r="H21" s="207"/>
      <c r="I21" s="206"/>
      <c r="J21" s="206"/>
      <c r="K21" s="451"/>
    </row>
    <row r="22" spans="1:12" ht="30">
      <c r="A22" s="206"/>
      <c r="B22" s="206"/>
      <c r="C22" s="206"/>
      <c r="D22" s="208" t="s">
        <v>8</v>
      </c>
      <c r="E22" s="208" t="s">
        <v>2</v>
      </c>
      <c r="F22" s="208" t="s">
        <v>3</v>
      </c>
      <c r="G22" s="208" t="s">
        <v>9</v>
      </c>
      <c r="H22" s="208" t="s">
        <v>10</v>
      </c>
      <c r="I22" s="206"/>
      <c r="J22" s="209" t="s">
        <v>7</v>
      </c>
      <c r="K22" s="451"/>
    </row>
    <row r="23" spans="1:12" ht="16" thickBot="1">
      <c r="A23" s="206"/>
      <c r="B23" s="206"/>
      <c r="C23" s="206"/>
      <c r="D23" s="209"/>
      <c r="E23" s="209"/>
      <c r="F23" s="209"/>
      <c r="G23" s="209"/>
      <c r="H23" s="209"/>
      <c r="I23" s="206"/>
      <c r="J23" s="206"/>
      <c r="K23" s="451"/>
    </row>
    <row r="24" spans="1:12">
      <c r="A24" s="206"/>
      <c r="B24" s="210" t="s">
        <v>5</v>
      </c>
      <c r="C24" s="221"/>
      <c r="D24" s="419">
        <v>120000</v>
      </c>
      <c r="E24" s="420"/>
      <c r="F24" s="420"/>
      <c r="G24" s="419">
        <v>2020</v>
      </c>
      <c r="H24" s="421"/>
      <c r="I24" s="422"/>
      <c r="J24" s="423">
        <v>122020</v>
      </c>
      <c r="K24" s="451"/>
    </row>
    <row r="25" spans="1:12">
      <c r="A25" s="206"/>
      <c r="B25" s="479" t="s">
        <v>4</v>
      </c>
      <c r="C25" s="424"/>
      <c r="D25" s="425"/>
      <c r="E25" s="426"/>
      <c r="F25" s="426"/>
      <c r="G25" s="425"/>
      <c r="H25" s="427"/>
      <c r="I25" s="422"/>
      <c r="J25" s="428">
        <v>0</v>
      </c>
      <c r="K25" s="451"/>
    </row>
    <row r="26" spans="1:12">
      <c r="A26" s="206"/>
      <c r="B26" s="651" t="s">
        <v>19</v>
      </c>
      <c r="C26" s="429" t="s">
        <v>12</v>
      </c>
      <c r="D26" s="425">
        <v>76952</v>
      </c>
      <c r="E26" s="426"/>
      <c r="F26" s="426"/>
      <c r="G26" s="425"/>
      <c r="H26" s="427"/>
      <c r="I26" s="422"/>
      <c r="J26" s="428">
        <v>76952</v>
      </c>
      <c r="K26" s="451"/>
    </row>
    <row r="27" spans="1:12">
      <c r="A27" s="206"/>
      <c r="B27" s="652"/>
      <c r="C27" s="429" t="s">
        <v>13</v>
      </c>
      <c r="D27" s="425">
        <v>4750</v>
      </c>
      <c r="E27" s="426"/>
      <c r="F27" s="426"/>
      <c r="G27" s="425">
        <v>4900</v>
      </c>
      <c r="H27" s="427"/>
      <c r="I27" s="422"/>
      <c r="J27" s="428">
        <v>9650</v>
      </c>
      <c r="K27" s="451"/>
    </row>
    <row r="28" spans="1:12">
      <c r="A28" s="206"/>
      <c r="B28" s="652"/>
      <c r="C28" s="429" t="s">
        <v>14</v>
      </c>
      <c r="D28" s="425"/>
      <c r="E28" s="426"/>
      <c r="F28" s="426"/>
      <c r="G28" s="425"/>
      <c r="H28" s="427"/>
      <c r="I28" s="422"/>
      <c r="J28" s="428">
        <v>0</v>
      </c>
      <c r="K28" s="451"/>
    </row>
    <row r="29" spans="1:12">
      <c r="A29" s="206"/>
      <c r="B29" s="653"/>
      <c r="C29" s="430" t="s">
        <v>15</v>
      </c>
      <c r="D29" s="426">
        <v>81702</v>
      </c>
      <c r="E29" s="426">
        <v>0</v>
      </c>
      <c r="F29" s="426">
        <v>0</v>
      </c>
      <c r="G29" s="426">
        <v>4900</v>
      </c>
      <c r="H29" s="431">
        <v>0</v>
      </c>
      <c r="I29" s="422"/>
      <c r="J29" s="428">
        <v>86602</v>
      </c>
      <c r="K29" s="451"/>
    </row>
    <row r="30" spans="1:12" ht="46" thickBot="1">
      <c r="A30" s="206"/>
      <c r="B30" s="217" t="s">
        <v>18</v>
      </c>
      <c r="C30" s="490" t="s">
        <v>136</v>
      </c>
      <c r="D30" s="432">
        <v>96000</v>
      </c>
      <c r="E30" s="433"/>
      <c r="F30" s="433"/>
      <c r="G30" s="434">
        <v>1616</v>
      </c>
      <c r="H30" s="435"/>
      <c r="I30" s="422"/>
      <c r="J30" s="436">
        <v>97616</v>
      </c>
      <c r="K30" s="451"/>
    </row>
    <row r="31" spans="1:12" ht="16" thickBot="1">
      <c r="A31" s="206"/>
      <c r="B31" s="214"/>
      <c r="C31" s="219"/>
      <c r="D31" s="422"/>
      <c r="E31" s="422"/>
      <c r="F31" s="422"/>
      <c r="G31" s="422"/>
      <c r="H31" s="422"/>
      <c r="I31" s="422"/>
      <c r="J31" s="422"/>
      <c r="K31" s="451"/>
    </row>
    <row r="32" spans="1:12">
      <c r="A32" s="206"/>
      <c r="B32" s="220" t="s">
        <v>6</v>
      </c>
      <c r="C32" s="221"/>
      <c r="D32" s="420">
        <v>297702</v>
      </c>
      <c r="E32" s="420">
        <v>0</v>
      </c>
      <c r="F32" s="420">
        <v>0</v>
      </c>
      <c r="G32" s="420">
        <v>8536</v>
      </c>
      <c r="H32" s="437">
        <v>0</v>
      </c>
      <c r="I32" s="422"/>
      <c r="J32" s="423">
        <v>306238</v>
      </c>
      <c r="K32" s="451"/>
    </row>
    <row r="33" spans="1:11" ht="31" thickBot="1">
      <c r="A33" s="206"/>
      <c r="B33" s="222" t="s">
        <v>11</v>
      </c>
      <c r="C33" s="223"/>
      <c r="D33" s="433">
        <v>223277</v>
      </c>
      <c r="E33" s="433">
        <v>0</v>
      </c>
      <c r="F33" s="433">
        <v>0</v>
      </c>
      <c r="G33" s="433">
        <v>8536</v>
      </c>
      <c r="H33" s="438">
        <v>0</v>
      </c>
      <c r="I33" s="422"/>
      <c r="J33" s="436">
        <v>231813</v>
      </c>
      <c r="K33" s="451" t="s">
        <v>113</v>
      </c>
    </row>
    <row r="34" spans="1:11">
      <c r="A34" s="224" t="s">
        <v>20</v>
      </c>
      <c r="B34" s="224"/>
      <c r="C34" s="224"/>
      <c r="D34" s="224"/>
      <c r="E34" s="224"/>
      <c r="F34" s="224"/>
      <c r="G34" s="224"/>
      <c r="H34" s="224"/>
      <c r="I34" s="224"/>
      <c r="J34" s="224"/>
      <c r="K34" s="451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60"/>
  <sheetViews>
    <sheetView workbookViewId="0">
      <selection activeCell="L17" sqref="K17:L17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1" ht="16">
      <c r="A1" s="1" t="s">
        <v>0</v>
      </c>
    </row>
    <row r="2" spans="1:11" ht="16">
      <c r="A2" s="1" t="s">
        <v>1</v>
      </c>
    </row>
    <row r="3" spans="1:11" ht="16">
      <c r="A3" s="6" t="s">
        <v>23</v>
      </c>
      <c r="B3" s="7" t="s">
        <v>175</v>
      </c>
      <c r="C3" s="110"/>
      <c r="H3" s="445">
        <v>42158</v>
      </c>
    </row>
    <row r="4" spans="1:11">
      <c r="G4" s="5"/>
      <c r="H4" s="4"/>
    </row>
    <row r="5" spans="1:11">
      <c r="A5" s="226" t="s">
        <v>186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1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1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</row>
    <row r="8" spans="1:11">
      <c r="A8" s="227"/>
      <c r="B8" s="454" t="s">
        <v>5</v>
      </c>
      <c r="C8" s="455"/>
      <c r="D8" s="234">
        <v>8097</v>
      </c>
      <c r="E8" s="235"/>
      <c r="F8" s="235"/>
      <c r="G8" s="236">
        <v>356</v>
      </c>
      <c r="H8" s="237"/>
      <c r="I8" s="238"/>
      <c r="J8" s="239">
        <f t="shared" ref="J8:J14" si="0">SUM(D8:H8)</f>
        <v>8453</v>
      </c>
      <c r="K8" t="s">
        <v>189</v>
      </c>
    </row>
    <row r="9" spans="1:11">
      <c r="A9" s="227"/>
      <c r="B9" s="456" t="s">
        <v>4</v>
      </c>
      <c r="C9" s="457"/>
      <c r="D9" s="242"/>
      <c r="E9" s="243"/>
      <c r="F9" s="243"/>
      <c r="G9" s="244"/>
      <c r="H9" s="245"/>
      <c r="I9" s="238"/>
      <c r="J9" s="246">
        <f t="shared" si="0"/>
        <v>0</v>
      </c>
    </row>
    <row r="10" spans="1:11">
      <c r="A10" s="227"/>
      <c r="B10" s="644" t="s">
        <v>19</v>
      </c>
      <c r="C10" s="458" t="s">
        <v>12</v>
      </c>
      <c r="D10" s="242"/>
      <c r="E10" s="243"/>
      <c r="F10" s="243"/>
      <c r="G10" s="244"/>
      <c r="H10" s="245"/>
      <c r="I10" s="238"/>
      <c r="J10" s="246">
        <f t="shared" si="0"/>
        <v>0</v>
      </c>
    </row>
    <row r="11" spans="1:11">
      <c r="A11" s="227"/>
      <c r="B11" s="645"/>
      <c r="C11" s="458" t="s">
        <v>13</v>
      </c>
      <c r="D11" s="242">
        <v>1039</v>
      </c>
      <c r="E11" s="243"/>
      <c r="F11" s="243"/>
      <c r="G11" s="244">
        <v>445</v>
      </c>
      <c r="H11" s="245"/>
      <c r="I11" s="238"/>
      <c r="J11" s="246">
        <f t="shared" si="0"/>
        <v>1484</v>
      </c>
    </row>
    <row r="12" spans="1:11">
      <c r="A12" s="227"/>
      <c r="B12" s="645"/>
      <c r="C12" s="458" t="s">
        <v>14</v>
      </c>
      <c r="D12" s="242">
        <v>0</v>
      </c>
      <c r="E12" s="243"/>
      <c r="F12" s="243"/>
      <c r="G12" s="244"/>
      <c r="H12" s="245"/>
      <c r="I12" s="238"/>
      <c r="J12" s="246">
        <f t="shared" si="0"/>
        <v>0</v>
      </c>
    </row>
    <row r="13" spans="1:11">
      <c r="A13" s="227"/>
      <c r="B13" s="645"/>
      <c r="C13" s="459" t="s">
        <v>15</v>
      </c>
      <c r="D13" s="249">
        <f>SUM(D10:D12)</f>
        <v>1039</v>
      </c>
      <c r="E13" s="243">
        <f>SUM(E10:E12)</f>
        <v>0</v>
      </c>
      <c r="F13" s="243">
        <f>SUM(F10:F12)</f>
        <v>0</v>
      </c>
      <c r="G13" s="243">
        <f>SUM(G10:G12)</f>
        <v>445</v>
      </c>
      <c r="H13" s="250">
        <f>SUM(H10:H12)</f>
        <v>0</v>
      </c>
      <c r="I13" s="238"/>
      <c r="J13" s="246">
        <f t="shared" si="0"/>
        <v>1484</v>
      </c>
    </row>
    <row r="14" spans="1:11" ht="46" thickBot="1">
      <c r="A14" s="227"/>
      <c r="B14" s="460" t="s">
        <v>18</v>
      </c>
      <c r="C14" s="461" t="s">
        <v>188</v>
      </c>
      <c r="D14" s="462">
        <f>(D8+D13)*87/100</f>
        <v>7948.32</v>
      </c>
      <c r="E14" s="254"/>
      <c r="F14" s="254"/>
      <c r="G14" s="462">
        <f>(G8+G13)*87/100</f>
        <v>696.87</v>
      </c>
      <c r="H14" s="255"/>
      <c r="I14" s="238"/>
      <c r="J14" s="256">
        <f t="shared" si="0"/>
        <v>8645.19</v>
      </c>
    </row>
    <row r="15" spans="1:11" ht="16" thickBot="1">
      <c r="A15" s="227"/>
      <c r="B15" s="463"/>
      <c r="C15" s="464"/>
      <c r="D15" s="259"/>
      <c r="E15" s="259"/>
      <c r="F15" s="259"/>
      <c r="G15" s="259"/>
      <c r="H15" s="259"/>
      <c r="I15" s="238"/>
      <c r="J15" s="238"/>
    </row>
    <row r="16" spans="1:11">
      <c r="A16" s="227"/>
      <c r="B16" s="465" t="s">
        <v>6</v>
      </c>
      <c r="C16" s="466"/>
      <c r="D16" s="262">
        <f>D8+D9+D13+D14</f>
        <v>17084.32</v>
      </c>
      <c r="E16" s="263">
        <f>E8+E9+E13+E14</f>
        <v>0</v>
      </c>
      <c r="F16" s="263">
        <f>F8+F9+F13+F14</f>
        <v>0</v>
      </c>
      <c r="G16" s="263">
        <f>G8+G9+G13+G14</f>
        <v>1497.87</v>
      </c>
      <c r="H16" s="264">
        <f>H8+H9+H13+H14</f>
        <v>0</v>
      </c>
      <c r="I16" s="238"/>
      <c r="J16" s="239">
        <f>J8+J9+J13+J14</f>
        <v>18582.190000000002</v>
      </c>
    </row>
    <row r="17" spans="1:12" ht="31" thickBot="1">
      <c r="A17" s="227"/>
      <c r="B17" s="467" t="s">
        <v>11</v>
      </c>
      <c r="C17" s="472">
        <v>0.5</v>
      </c>
      <c r="D17" s="267">
        <f>D16*50%</f>
        <v>8542.16</v>
      </c>
      <c r="E17" s="268">
        <f>E16*50%</f>
        <v>0</v>
      </c>
      <c r="F17" s="268">
        <f>F16*100%</f>
        <v>0</v>
      </c>
      <c r="G17" s="268">
        <f>G16*100%</f>
        <v>1497.87</v>
      </c>
      <c r="H17" s="269">
        <f>H16*100%</f>
        <v>0</v>
      </c>
      <c r="I17" s="238"/>
      <c r="J17" s="256">
        <f>SUM(D17:H17)</f>
        <v>10040.029999999999</v>
      </c>
      <c r="K17" s="450">
        <f>J17-J33</f>
        <v>-81483.97</v>
      </c>
      <c r="L17" s="451" t="s">
        <v>182</v>
      </c>
    </row>
    <row r="18" spans="1:12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D20" s="44"/>
      <c r="E20" s="44"/>
      <c r="F20" s="44"/>
      <c r="G20" s="44"/>
      <c r="H20" s="44"/>
      <c r="I20" s="45"/>
      <c r="J20" s="46"/>
    </row>
    <row r="21" spans="1:12">
      <c r="A21" s="48" t="s">
        <v>142</v>
      </c>
      <c r="B21" s="8"/>
      <c r="C21" s="8"/>
      <c r="D21" s="9"/>
      <c r="E21" s="9"/>
      <c r="F21" s="9"/>
      <c r="G21" s="9"/>
      <c r="H21" s="9"/>
      <c r="I21" s="15"/>
      <c r="J21" s="8"/>
    </row>
    <row r="22" spans="1:12" ht="30">
      <c r="A22" s="8"/>
      <c r="B22" s="8"/>
      <c r="C22" s="8"/>
      <c r="D22" s="10" t="s">
        <v>8</v>
      </c>
      <c r="E22" s="10" t="s">
        <v>2</v>
      </c>
      <c r="F22" s="10" t="s">
        <v>3</v>
      </c>
      <c r="G22" s="10" t="s">
        <v>9</v>
      </c>
      <c r="H22" s="10" t="s">
        <v>10</v>
      </c>
      <c r="I22" s="15"/>
      <c r="J22" s="11" t="s">
        <v>7</v>
      </c>
    </row>
    <row r="23" spans="1:12" ht="16" thickBot="1">
      <c r="A23" s="8"/>
      <c r="B23" s="8"/>
      <c r="C23" s="8"/>
      <c r="D23" s="11"/>
      <c r="E23" s="11"/>
      <c r="F23" s="11"/>
      <c r="G23" s="11"/>
      <c r="H23" s="11"/>
      <c r="I23" s="15"/>
      <c r="J23" s="8"/>
    </row>
    <row r="24" spans="1:12">
      <c r="A24" s="8"/>
      <c r="B24" s="101" t="s">
        <v>5</v>
      </c>
      <c r="C24" s="102"/>
      <c r="D24" s="16">
        <v>67500</v>
      </c>
      <c r="E24" s="17"/>
      <c r="F24" s="17"/>
      <c r="G24" s="18">
        <v>2250</v>
      </c>
      <c r="H24" s="19"/>
      <c r="I24" s="20"/>
      <c r="J24" s="21">
        <f t="shared" ref="J24:J30" si="1">SUM(D24:H24)</f>
        <v>69750</v>
      </c>
    </row>
    <row r="25" spans="1:12">
      <c r="A25" s="8"/>
      <c r="B25" s="452" t="s">
        <v>4</v>
      </c>
      <c r="C25" s="86"/>
      <c r="D25" s="22"/>
      <c r="E25" s="23"/>
      <c r="F25" s="23"/>
      <c r="G25" s="24"/>
      <c r="H25" s="25"/>
      <c r="I25" s="20"/>
      <c r="J25" s="26">
        <f t="shared" si="1"/>
        <v>0</v>
      </c>
    </row>
    <row r="26" spans="1:12">
      <c r="A26" s="8"/>
      <c r="B26" s="646" t="s">
        <v>19</v>
      </c>
      <c r="C26" s="87" t="s">
        <v>12</v>
      </c>
      <c r="D26" s="22">
        <v>8000</v>
      </c>
      <c r="E26" s="23"/>
      <c r="F26" s="23"/>
      <c r="G26" s="24">
        <v>400</v>
      </c>
      <c r="H26" s="25"/>
      <c r="I26" s="20"/>
      <c r="J26" s="26">
        <f t="shared" si="1"/>
        <v>8400</v>
      </c>
    </row>
    <row r="27" spans="1:12">
      <c r="A27" s="8"/>
      <c r="B27" s="647"/>
      <c r="C27" s="87" t="s">
        <v>13</v>
      </c>
      <c r="D27" s="22">
        <v>8000</v>
      </c>
      <c r="E27" s="23"/>
      <c r="F27" s="23"/>
      <c r="G27" s="24">
        <v>2529</v>
      </c>
      <c r="H27" s="25"/>
      <c r="I27" s="20"/>
      <c r="J27" s="26">
        <f t="shared" si="1"/>
        <v>10529</v>
      </c>
    </row>
    <row r="28" spans="1:12">
      <c r="A28" s="8"/>
      <c r="B28" s="647"/>
      <c r="C28" s="87" t="s">
        <v>14</v>
      </c>
      <c r="D28" s="22">
        <v>26550</v>
      </c>
      <c r="E28" s="23"/>
      <c r="F28" s="23"/>
      <c r="G28" s="24"/>
      <c r="H28" s="25"/>
      <c r="I28" s="20"/>
      <c r="J28" s="26">
        <f t="shared" si="1"/>
        <v>26550</v>
      </c>
    </row>
    <row r="29" spans="1:12">
      <c r="A29" s="8"/>
      <c r="B29" s="647"/>
      <c r="C29" s="88" t="s">
        <v>15</v>
      </c>
      <c r="D29" s="27">
        <f>SUM(D26:D28)</f>
        <v>42550</v>
      </c>
      <c r="E29" s="23">
        <f>SUM(E26:E28)</f>
        <v>0</v>
      </c>
      <c r="F29" s="23">
        <f>SUM(F26:F28)</f>
        <v>0</v>
      </c>
      <c r="G29" s="23">
        <f>SUM(G26:G28)</f>
        <v>2929</v>
      </c>
      <c r="H29" s="28">
        <f>SUM(H26:H28)</f>
        <v>0</v>
      </c>
      <c r="I29" s="20"/>
      <c r="J29" s="26">
        <f t="shared" si="1"/>
        <v>45479</v>
      </c>
    </row>
    <row r="30" spans="1:12" ht="46" thickBot="1">
      <c r="A30" s="8"/>
      <c r="B30" s="104" t="s">
        <v>18</v>
      </c>
      <c r="C30" s="417" t="s">
        <v>177</v>
      </c>
      <c r="D30" s="29">
        <f>87*D24/100</f>
        <v>58725</v>
      </c>
      <c r="E30" s="30"/>
      <c r="F30" s="30"/>
      <c r="G30" s="29">
        <f>G24*87/100</f>
        <v>1957.5</v>
      </c>
      <c r="H30" s="32"/>
      <c r="I30" s="20"/>
      <c r="J30" s="33">
        <f t="shared" si="1"/>
        <v>60682.5</v>
      </c>
    </row>
    <row r="31" spans="1:12" ht="16" thickBot="1">
      <c r="A31" s="8"/>
      <c r="B31" s="12"/>
      <c r="C31" s="13"/>
      <c r="D31" s="34"/>
      <c r="E31" s="34"/>
      <c r="F31" s="34"/>
      <c r="G31" s="34"/>
      <c r="H31" s="34"/>
      <c r="I31" s="20"/>
      <c r="J31" s="20"/>
    </row>
    <row r="32" spans="1:12">
      <c r="A32" s="8"/>
      <c r="B32" s="106" t="s">
        <v>6</v>
      </c>
      <c r="C32" s="107"/>
      <c r="D32" s="35">
        <f>D24+D25+D29+D30</f>
        <v>168775</v>
      </c>
      <c r="E32" s="36">
        <f>E24+E25+E29+E30</f>
        <v>0</v>
      </c>
      <c r="F32" s="36">
        <f>F24+F25+F29+F30</f>
        <v>0</v>
      </c>
      <c r="G32" s="36">
        <f>G24+G25+G29+G30</f>
        <v>7136.5</v>
      </c>
      <c r="H32" s="37">
        <f>H24+H25+H29+H30</f>
        <v>0</v>
      </c>
      <c r="I32" s="20"/>
      <c r="J32" s="21">
        <f>J24+J25+J29+J30</f>
        <v>175911.5</v>
      </c>
    </row>
    <row r="33" spans="1:10" ht="31" thickBot="1">
      <c r="A33" s="8"/>
      <c r="B33" s="108" t="s">
        <v>11</v>
      </c>
      <c r="C33" s="352">
        <v>0.5</v>
      </c>
      <c r="D33" s="38">
        <f>D32*50%</f>
        <v>84387.5</v>
      </c>
      <c r="E33" s="39">
        <f>E32*50%</f>
        <v>0</v>
      </c>
      <c r="F33" s="39">
        <f>F32*100%</f>
        <v>0</v>
      </c>
      <c r="G33" s="39">
        <f>G32*100%</f>
        <v>7136.5</v>
      </c>
      <c r="H33" s="40">
        <f>H32*100%</f>
        <v>0</v>
      </c>
      <c r="I33" s="20"/>
      <c r="J33" s="33">
        <f>SUM(D33:H33)</f>
        <v>91524</v>
      </c>
    </row>
    <row r="34" spans="1:10">
      <c r="A34" s="47" t="s">
        <v>20</v>
      </c>
      <c r="B34" s="47"/>
      <c r="C34" s="8"/>
      <c r="D34" s="41"/>
      <c r="E34" s="41"/>
      <c r="F34" s="41"/>
      <c r="G34" s="41"/>
      <c r="H34" s="41"/>
      <c r="I34" s="42"/>
      <c r="J34" s="43"/>
    </row>
    <row r="35" spans="1:10">
      <c r="D35" s="44"/>
      <c r="E35" s="44"/>
      <c r="F35" s="44"/>
      <c r="G35" s="44"/>
      <c r="H35" s="44"/>
      <c r="I35" s="45"/>
      <c r="J35" s="46"/>
    </row>
    <row r="36" spans="1:10" ht="15" customHeight="1">
      <c r="D36" s="44"/>
      <c r="E36" s="44"/>
      <c r="F36" s="44"/>
      <c r="G36" s="44"/>
      <c r="H36" s="44"/>
      <c r="I36" s="45"/>
      <c r="J36" s="46"/>
    </row>
    <row r="38" spans="1:10">
      <c r="B38" s="195"/>
      <c r="C38" s="381" t="s">
        <v>134</v>
      </c>
      <c r="D38" s="382"/>
      <c r="E38" s="382"/>
      <c r="F38" s="382"/>
      <c r="G38" s="382"/>
      <c r="H38" s="382"/>
    </row>
    <row r="39" spans="1:10">
      <c r="B39" s="195"/>
      <c r="C39" s="195"/>
      <c r="D39" s="382"/>
      <c r="E39" s="382"/>
      <c r="F39" s="382"/>
      <c r="G39" s="382"/>
      <c r="H39" s="382"/>
    </row>
    <row r="40" spans="1:10">
      <c r="B40" s="195"/>
      <c r="C40" s="195" t="s">
        <v>154</v>
      </c>
      <c r="D40" s="382"/>
      <c r="E40" s="382"/>
      <c r="F40" s="382"/>
      <c r="G40" s="382"/>
      <c r="H40" s="382"/>
    </row>
    <row r="41" spans="1:10">
      <c r="B41" s="195"/>
      <c r="C41" s="195" t="s">
        <v>155</v>
      </c>
      <c r="D41" s="382"/>
      <c r="E41" s="382"/>
      <c r="F41" s="382"/>
      <c r="G41" s="382"/>
      <c r="H41" s="382"/>
    </row>
    <row r="42" spans="1:10">
      <c r="B42" s="195"/>
      <c r="C42" s="195"/>
      <c r="D42" s="382"/>
      <c r="E42" s="382"/>
      <c r="F42" s="382"/>
      <c r="G42" s="382"/>
      <c r="H42" s="382"/>
    </row>
    <row r="43" spans="1:10">
      <c r="B43" s="195"/>
      <c r="C43" s="195"/>
      <c r="D43" s="382"/>
      <c r="E43" s="382"/>
      <c r="F43" s="382"/>
      <c r="G43" s="382"/>
      <c r="H43" s="382"/>
    </row>
    <row r="44" spans="1:10">
      <c r="B44" s="195"/>
      <c r="C44" s="195"/>
      <c r="D44" s="382"/>
      <c r="E44" s="382"/>
      <c r="F44" s="382"/>
      <c r="G44" s="382"/>
      <c r="H44" s="382"/>
    </row>
    <row r="45" spans="1:10">
      <c r="C45" s="2" t="s">
        <v>176</v>
      </c>
    </row>
    <row r="47" spans="1:10">
      <c r="A47" s="48" t="s">
        <v>142</v>
      </c>
      <c r="B47" s="8"/>
      <c r="C47" s="8"/>
      <c r="D47" s="9"/>
      <c r="E47" s="9"/>
      <c r="F47" s="9"/>
      <c r="G47" s="9"/>
      <c r="H47" s="9"/>
      <c r="I47" s="15"/>
      <c r="J47" s="8"/>
    </row>
    <row r="48" spans="1:10" ht="30">
      <c r="A48" s="8" t="s">
        <v>178</v>
      </c>
      <c r="B48" s="8"/>
      <c r="C48" s="8"/>
      <c r="D48" s="10" t="s">
        <v>8</v>
      </c>
      <c r="E48" s="10" t="s">
        <v>2</v>
      </c>
      <c r="F48" s="10" t="s">
        <v>3</v>
      </c>
      <c r="G48" s="10" t="s">
        <v>9</v>
      </c>
      <c r="H48" s="10" t="s">
        <v>10</v>
      </c>
      <c r="I48" s="15"/>
      <c r="J48" s="11" t="s">
        <v>7</v>
      </c>
    </row>
    <row r="49" spans="1:10" ht="16" thickBot="1">
      <c r="A49" s="8"/>
      <c r="B49" s="8"/>
      <c r="C49" s="8"/>
      <c r="D49" s="11"/>
      <c r="E49" s="11"/>
      <c r="F49" s="11"/>
      <c r="G49" s="11"/>
      <c r="H49" s="11"/>
      <c r="I49" s="15"/>
      <c r="J49" s="8"/>
    </row>
    <row r="50" spans="1:10">
      <c r="A50" s="8"/>
      <c r="B50" s="101" t="s">
        <v>5</v>
      </c>
      <c r="C50" s="102"/>
      <c r="D50" s="16">
        <v>90000</v>
      </c>
      <c r="E50" s="17"/>
      <c r="F50" s="17"/>
      <c r="G50" s="18">
        <v>2250</v>
      </c>
      <c r="H50" s="19"/>
      <c r="I50" s="20"/>
      <c r="J50" s="21">
        <f t="shared" ref="J50:J56" si="2">SUM(D50:H50)</f>
        <v>92250</v>
      </c>
    </row>
    <row r="51" spans="1:10">
      <c r="A51" s="8"/>
      <c r="B51" s="452" t="s">
        <v>4</v>
      </c>
      <c r="C51" s="86"/>
      <c r="D51" s="22"/>
      <c r="E51" s="23"/>
      <c r="F51" s="23"/>
      <c r="G51" s="24"/>
      <c r="H51" s="25"/>
      <c r="I51" s="20"/>
      <c r="J51" s="26">
        <f t="shared" si="2"/>
        <v>0</v>
      </c>
    </row>
    <row r="52" spans="1:10" ht="30">
      <c r="A52" s="8"/>
      <c r="B52" s="452" t="s">
        <v>19</v>
      </c>
      <c r="C52" s="87" t="s">
        <v>12</v>
      </c>
      <c r="D52" s="22">
        <v>10000</v>
      </c>
      <c r="E52" s="23"/>
      <c r="F52" s="23"/>
      <c r="G52" s="24">
        <v>400</v>
      </c>
      <c r="H52" s="25"/>
      <c r="I52" s="20"/>
      <c r="J52" s="26">
        <f t="shared" si="2"/>
        <v>10400</v>
      </c>
    </row>
    <row r="53" spans="1:10">
      <c r="A53" s="8"/>
      <c r="B53" s="453"/>
      <c r="C53" s="87" t="s">
        <v>13</v>
      </c>
      <c r="D53" s="22">
        <v>8000</v>
      </c>
      <c r="E53" s="23"/>
      <c r="F53" s="23"/>
      <c r="G53" s="24">
        <v>4870</v>
      </c>
      <c r="H53" s="25"/>
      <c r="I53" s="20"/>
      <c r="J53" s="26">
        <f t="shared" si="2"/>
        <v>12870</v>
      </c>
    </row>
    <row r="54" spans="1:10">
      <c r="A54" s="8"/>
      <c r="B54" s="453"/>
      <c r="C54" s="87" t="s">
        <v>14</v>
      </c>
      <c r="D54" s="22">
        <v>29500</v>
      </c>
      <c r="E54" s="23"/>
      <c r="F54" s="23"/>
      <c r="G54" s="24"/>
      <c r="H54" s="25"/>
      <c r="I54" s="20"/>
      <c r="J54" s="26">
        <f t="shared" si="2"/>
        <v>29500</v>
      </c>
    </row>
    <row r="55" spans="1:10">
      <c r="A55" s="8"/>
      <c r="B55" s="453"/>
      <c r="C55" s="88" t="s">
        <v>15</v>
      </c>
      <c r="D55" s="27">
        <f>SUM(D52:D54)</f>
        <v>47500</v>
      </c>
      <c r="E55" s="23">
        <f>SUM(E52:E54)</f>
        <v>0</v>
      </c>
      <c r="F55" s="23">
        <f>SUM(F52:F54)</f>
        <v>0</v>
      </c>
      <c r="G55" s="23">
        <f>SUM(G52:G54)</f>
        <v>5270</v>
      </c>
      <c r="H55" s="28">
        <f>SUM(H52:H54)</f>
        <v>0</v>
      </c>
      <c r="I55" s="20"/>
      <c r="J55" s="26">
        <f t="shared" si="2"/>
        <v>52770</v>
      </c>
    </row>
    <row r="56" spans="1:10" ht="31" thickBot="1">
      <c r="A56" s="8"/>
      <c r="B56" s="104" t="s">
        <v>18</v>
      </c>
      <c r="C56" s="417" t="s">
        <v>121</v>
      </c>
      <c r="D56" s="29">
        <f>(D55+D50)*20%</f>
        <v>27500</v>
      </c>
      <c r="E56" s="30"/>
      <c r="F56" s="30"/>
      <c r="G56" s="29">
        <f>(G55+G50)*20%</f>
        <v>1504</v>
      </c>
      <c r="H56" s="32"/>
      <c r="I56" s="20"/>
      <c r="J56" s="33">
        <f t="shared" si="2"/>
        <v>29004</v>
      </c>
    </row>
    <row r="57" spans="1:10" ht="16" thickBot="1">
      <c r="A57" s="8"/>
      <c r="B57" s="12"/>
      <c r="C57" s="13"/>
      <c r="D57" s="34"/>
      <c r="E57" s="34"/>
      <c r="F57" s="34"/>
      <c r="G57" s="34"/>
      <c r="H57" s="34"/>
      <c r="I57" s="20"/>
      <c r="J57" s="20"/>
    </row>
    <row r="58" spans="1:10">
      <c r="A58" s="8"/>
      <c r="B58" s="106" t="s">
        <v>6</v>
      </c>
      <c r="C58" s="107"/>
      <c r="D58" s="35">
        <f>D50+D51+D55+D56</f>
        <v>165000</v>
      </c>
      <c r="E58" s="36">
        <f>E50+E51+E55+E56</f>
        <v>0</v>
      </c>
      <c r="F58" s="36">
        <f>F50+F51+F55+F56</f>
        <v>0</v>
      </c>
      <c r="G58" s="36">
        <f>G50+G51+G55+G56</f>
        <v>9024</v>
      </c>
      <c r="H58" s="37">
        <f>H50+H51+H55+H56</f>
        <v>0</v>
      </c>
      <c r="I58" s="20"/>
      <c r="J58" s="21">
        <f>J50+J51+J55+J56</f>
        <v>174024</v>
      </c>
    </row>
    <row r="59" spans="1:10" ht="31" thickBot="1">
      <c r="A59" s="8"/>
      <c r="B59" s="108" t="s">
        <v>11</v>
      </c>
      <c r="C59" s="352">
        <v>0.5</v>
      </c>
      <c r="D59" s="38">
        <f>D58*50%</f>
        <v>82500</v>
      </c>
      <c r="E59" s="39">
        <f>E58*50%</f>
        <v>0</v>
      </c>
      <c r="F59" s="39">
        <f>F58*100%</f>
        <v>0</v>
      </c>
      <c r="G59" s="39">
        <f>G58*100%</f>
        <v>9024</v>
      </c>
      <c r="H59" s="40">
        <f>H58*100%</f>
        <v>0</v>
      </c>
      <c r="I59" s="20"/>
      <c r="J59" s="33">
        <f>SUM(D59:H59)</f>
        <v>91524</v>
      </c>
    </row>
    <row r="60" spans="1:10">
      <c r="A60" s="47" t="s">
        <v>20</v>
      </c>
      <c r="B60" s="47"/>
      <c r="C60" s="8"/>
      <c r="D60" s="41"/>
      <c r="E60" s="41"/>
      <c r="F60" s="41"/>
      <c r="G60" s="41"/>
      <c r="H60" s="41"/>
      <c r="I60" s="42"/>
      <c r="J60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20"/>
  <sheetViews>
    <sheetView workbookViewId="0">
      <selection activeCell="G8" sqref="G8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27</v>
      </c>
      <c r="C3" s="110"/>
    </row>
    <row r="4" spans="1:10">
      <c r="G4" s="5"/>
      <c r="H4" s="445">
        <v>42307</v>
      </c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13993</v>
      </c>
      <c r="E8" s="17"/>
      <c r="F8" s="17"/>
      <c r="G8" s="18">
        <v>1000</v>
      </c>
      <c r="H8" s="19"/>
      <c r="I8" s="20"/>
      <c r="J8" s="21">
        <f t="shared" ref="J8:J14" si="0">SUM(D8:H8)</f>
        <v>14993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22000</v>
      </c>
      <c r="E10" s="23"/>
      <c r="F10" s="23"/>
      <c r="G10" s="24"/>
      <c r="H10" s="25"/>
      <c r="I10" s="20"/>
      <c r="J10" s="26">
        <f t="shared" si="0"/>
        <v>22000</v>
      </c>
    </row>
    <row r="11" spans="1:10">
      <c r="A11" s="8"/>
      <c r="B11" s="647"/>
      <c r="C11" s="87" t="s">
        <v>13</v>
      </c>
      <c r="D11" s="22">
        <v>4000</v>
      </c>
      <c r="E11" s="23"/>
      <c r="F11" s="23"/>
      <c r="G11" s="24">
        <v>4600</v>
      </c>
      <c r="H11" s="25"/>
      <c r="I11" s="20"/>
      <c r="J11" s="26">
        <f t="shared" si="0"/>
        <v>8600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26000</v>
      </c>
      <c r="E13" s="23">
        <f>SUM(E10:E12)</f>
        <v>0</v>
      </c>
      <c r="F13" s="23">
        <f>SUM(F10:F12)</f>
        <v>0</v>
      </c>
      <c r="G13" s="23">
        <f>SUM(G10:G12)</f>
        <v>4600</v>
      </c>
      <c r="H13" s="28">
        <f>SUM(H10:H12)</f>
        <v>0</v>
      </c>
      <c r="I13" s="20"/>
      <c r="J13" s="26">
        <f t="shared" si="0"/>
        <v>30600</v>
      </c>
    </row>
    <row r="14" spans="1:10" ht="31" thickBot="1">
      <c r="A14" s="8"/>
      <c r="B14" s="104" t="s">
        <v>18</v>
      </c>
      <c r="C14" s="105" t="s">
        <v>130</v>
      </c>
      <c r="D14" s="29">
        <f>60%*(D8+D13)</f>
        <v>23995.8</v>
      </c>
      <c r="E14" s="30"/>
      <c r="F14" s="30"/>
      <c r="G14" s="29">
        <f>60%*(G8+G13)</f>
        <v>3360</v>
      </c>
      <c r="H14" s="32"/>
      <c r="I14" s="20"/>
      <c r="J14" s="33">
        <f t="shared" si="0"/>
        <v>27355.8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63988.800000000003</v>
      </c>
      <c r="E16" s="36">
        <f>E8+E9+E13+E14</f>
        <v>0</v>
      </c>
      <c r="F16" s="36">
        <f>F8+F9+F13+F14</f>
        <v>0</v>
      </c>
      <c r="G16" s="36">
        <f>G8+G9+G13+G14</f>
        <v>8960</v>
      </c>
      <c r="H16" s="37">
        <f>H8+H9+H13+H14</f>
        <v>0</v>
      </c>
      <c r="I16" s="20"/>
      <c r="J16" s="21">
        <f>J8+J9+J13+J14</f>
        <v>72948.800000000003</v>
      </c>
    </row>
    <row r="17" spans="1:10" ht="31" thickBot="1">
      <c r="A17" s="8"/>
      <c r="B17" s="108" t="s">
        <v>11</v>
      </c>
      <c r="C17" s="109"/>
      <c r="D17" s="38">
        <f>D16*75%</f>
        <v>47991.600000000006</v>
      </c>
      <c r="E17" s="39">
        <f>E16*50%</f>
        <v>0</v>
      </c>
      <c r="F17" s="39">
        <f>F16*100%</f>
        <v>0</v>
      </c>
      <c r="G17" s="39">
        <f>G16*100%</f>
        <v>8960</v>
      </c>
      <c r="H17" s="40">
        <f>H16*100%</f>
        <v>0</v>
      </c>
      <c r="I17" s="20"/>
      <c r="J17" s="33">
        <f>SUM(D17:H17)</f>
        <v>56951.600000000006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0">
      <c r="D19" s="44"/>
      <c r="E19" s="44"/>
      <c r="F19" s="44"/>
      <c r="G19" s="44"/>
      <c r="H19" s="44"/>
      <c r="I19" s="45"/>
      <c r="J19" s="46"/>
    </row>
    <row r="20" spans="1:10">
      <c r="D20" s="44"/>
      <c r="E20" s="44"/>
      <c r="F20" s="44"/>
      <c r="G20" s="44"/>
      <c r="H20" s="44"/>
      <c r="I20" s="45"/>
      <c r="J20" s="46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18"/>
  <sheetViews>
    <sheetView workbookViewId="0">
      <selection activeCell="H4" sqref="H4"/>
    </sheetView>
  </sheetViews>
  <sheetFormatPr baseColWidth="10" defaultRowHeight="15" x14ac:dyDescent="0"/>
  <cols>
    <col min="2" max="2" width="15" customWidth="1"/>
    <col min="3" max="3" width="15.1640625" customWidth="1"/>
    <col min="5" max="5" width="13.6640625" customWidth="1"/>
    <col min="7" max="7" width="14.1640625" customWidth="1"/>
    <col min="8" max="8" width="14.5" customWidth="1"/>
  </cols>
  <sheetData>
    <row r="1" spans="1:10" ht="16">
      <c r="A1" s="1" t="s">
        <v>0</v>
      </c>
      <c r="B1" s="1"/>
      <c r="C1" s="200"/>
      <c r="D1" s="167"/>
      <c r="E1" s="167"/>
      <c r="F1" s="167"/>
      <c r="G1" s="167"/>
      <c r="H1" s="167"/>
      <c r="I1" s="200"/>
      <c r="J1" s="200"/>
    </row>
    <row r="2" spans="1:10" ht="16">
      <c r="A2" s="1" t="s">
        <v>1</v>
      </c>
      <c r="B2" s="1"/>
      <c r="C2" s="1"/>
      <c r="D2" s="1"/>
      <c r="E2" s="1"/>
      <c r="F2" s="1"/>
      <c r="G2" s="1"/>
      <c r="H2" s="167"/>
      <c r="I2" s="200"/>
      <c r="J2" s="200"/>
    </row>
    <row r="3" spans="1:10" ht="16">
      <c r="A3" s="6" t="s">
        <v>23</v>
      </c>
      <c r="B3" s="201" t="s">
        <v>118</v>
      </c>
      <c r="C3" s="202"/>
      <c r="D3" s="167"/>
      <c r="E3" s="167"/>
      <c r="F3" s="167"/>
      <c r="G3" s="167"/>
      <c r="H3" s="194" t="s">
        <v>151</v>
      </c>
      <c r="I3" s="200"/>
      <c r="J3" s="192"/>
    </row>
    <row r="4" spans="1:10">
      <c r="A4" s="200"/>
      <c r="B4" s="200"/>
      <c r="C4" s="200"/>
      <c r="D4" s="167"/>
      <c r="E4" s="167"/>
      <c r="F4" s="167"/>
      <c r="G4" s="203"/>
      <c r="H4" s="204"/>
      <c r="I4" s="200"/>
      <c r="J4" s="200"/>
    </row>
    <row r="5" spans="1:10">
      <c r="A5" s="205"/>
      <c r="B5" s="206" t="s">
        <v>120</v>
      </c>
      <c r="C5" s="206"/>
      <c r="D5" s="207"/>
      <c r="E5" s="207"/>
      <c r="F5" s="207"/>
      <c r="G5" s="207"/>
      <c r="H5" s="207"/>
      <c r="I5" s="206"/>
      <c r="J5" s="206"/>
    </row>
    <row r="6" spans="1:10" ht="30">
      <c r="A6" s="206"/>
      <c r="B6" s="206"/>
      <c r="C6" s="206"/>
      <c r="D6" s="208" t="s">
        <v>8</v>
      </c>
      <c r="E6" s="208" t="s">
        <v>2</v>
      </c>
      <c r="F6" s="208" t="s">
        <v>3</v>
      </c>
      <c r="G6" s="208" t="s">
        <v>9</v>
      </c>
      <c r="H6" s="208" t="s">
        <v>10</v>
      </c>
      <c r="I6" s="206"/>
      <c r="J6" s="209" t="s">
        <v>7</v>
      </c>
    </row>
    <row r="7" spans="1:10" ht="16" thickBot="1">
      <c r="A7" s="206"/>
      <c r="B7" s="206"/>
      <c r="C7" s="206"/>
      <c r="D7" s="209"/>
      <c r="E7" s="209"/>
      <c r="F7" s="209"/>
      <c r="G7" s="209"/>
      <c r="H7" s="209"/>
      <c r="I7" s="206"/>
      <c r="J7" s="206"/>
    </row>
    <row r="8" spans="1:10">
      <c r="A8" s="206"/>
      <c r="B8" s="210" t="s">
        <v>5</v>
      </c>
      <c r="C8" s="211"/>
      <c r="D8" s="16">
        <v>12503</v>
      </c>
      <c r="E8" s="17"/>
      <c r="F8" s="17"/>
      <c r="G8" s="18">
        <v>1001</v>
      </c>
      <c r="H8" s="19"/>
      <c r="I8" s="20"/>
      <c r="J8" s="21">
        <f t="shared" ref="J8:J14" si="0">SUM(D8:H8)</f>
        <v>13504</v>
      </c>
    </row>
    <row r="9" spans="1:10">
      <c r="A9" s="206"/>
      <c r="B9" s="212" t="s">
        <v>4</v>
      </c>
      <c r="C9" s="213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206"/>
      <c r="B10" s="651" t="s">
        <v>19</v>
      </c>
      <c r="C10" s="215" t="s">
        <v>12</v>
      </c>
      <c r="D10" s="22">
        <v>9917</v>
      </c>
      <c r="E10" s="23"/>
      <c r="F10" s="23"/>
      <c r="G10" s="24">
        <v>299</v>
      </c>
      <c r="H10" s="25"/>
      <c r="I10" s="20"/>
      <c r="J10" s="26">
        <f t="shared" si="0"/>
        <v>10216</v>
      </c>
    </row>
    <row r="11" spans="1:10">
      <c r="A11" s="206"/>
      <c r="B11" s="652"/>
      <c r="C11" s="215" t="s">
        <v>13</v>
      </c>
      <c r="D11" s="22">
        <v>4500</v>
      </c>
      <c r="E11" s="23"/>
      <c r="F11" s="23"/>
      <c r="G11" s="24">
        <v>4000</v>
      </c>
      <c r="H11" s="25"/>
      <c r="I11" s="20"/>
      <c r="J11" s="26">
        <f t="shared" si="0"/>
        <v>8500</v>
      </c>
    </row>
    <row r="12" spans="1:10">
      <c r="A12" s="206"/>
      <c r="B12" s="652"/>
      <c r="C12" s="215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206"/>
      <c r="B13" s="653"/>
      <c r="C13" s="216" t="s">
        <v>15</v>
      </c>
      <c r="D13" s="27">
        <f>SUM(D10:D12)</f>
        <v>14417</v>
      </c>
      <c r="E13" s="23">
        <f>SUM(E10:E12)</f>
        <v>0</v>
      </c>
      <c r="F13" s="23">
        <f>SUM(F10:F12)</f>
        <v>0</v>
      </c>
      <c r="G13" s="23">
        <f>SUM(G10:G12)</f>
        <v>4299</v>
      </c>
      <c r="H13" s="28">
        <f>SUM(H10:H12)</f>
        <v>0</v>
      </c>
      <c r="I13" s="20"/>
      <c r="J13" s="26">
        <f t="shared" si="0"/>
        <v>18716</v>
      </c>
    </row>
    <row r="14" spans="1:10" ht="31" thickBot="1">
      <c r="A14" s="206"/>
      <c r="B14" s="217" t="s">
        <v>18</v>
      </c>
      <c r="C14" s="218" t="s">
        <v>120</v>
      </c>
      <c r="D14" s="29">
        <f>(D13+D8)*60%</f>
        <v>16152</v>
      </c>
      <c r="E14" s="30"/>
      <c r="F14" s="30"/>
      <c r="G14" s="31">
        <f>(G13+G8)*60%</f>
        <v>3180</v>
      </c>
      <c r="H14" s="32">
        <f>(H13+H8)*60%</f>
        <v>0</v>
      </c>
      <c r="I14" s="20"/>
      <c r="J14" s="33">
        <f t="shared" si="0"/>
        <v>19332</v>
      </c>
    </row>
    <row r="15" spans="1:10" ht="16" thickBot="1">
      <c r="A15" s="206"/>
      <c r="B15" s="214"/>
      <c r="C15" s="219"/>
      <c r="D15" s="34"/>
      <c r="E15" s="34"/>
      <c r="F15" s="34"/>
      <c r="G15" s="34"/>
      <c r="H15" s="34"/>
      <c r="I15" s="20"/>
      <c r="J15" s="20"/>
    </row>
    <row r="16" spans="1:10">
      <c r="A16" s="206"/>
      <c r="B16" s="220" t="s">
        <v>6</v>
      </c>
      <c r="C16" s="221"/>
      <c r="D16" s="35">
        <f>D8+D9+D13+D14</f>
        <v>43072</v>
      </c>
      <c r="E16" s="36">
        <f>E8+E9+E13+E14</f>
        <v>0</v>
      </c>
      <c r="F16" s="36">
        <f>F8+F9+F13+F14</f>
        <v>0</v>
      </c>
      <c r="G16" s="36">
        <f>G8+G9+G13+G14</f>
        <v>8480</v>
      </c>
      <c r="H16" s="37">
        <f>H8+H9+H13+H14</f>
        <v>0</v>
      </c>
      <c r="I16" s="20"/>
      <c r="J16" s="21">
        <f>J8+J9+J13+J14</f>
        <v>51552</v>
      </c>
    </row>
    <row r="17" spans="1:10" ht="31" thickBot="1">
      <c r="A17" s="206"/>
      <c r="B17" s="222" t="s">
        <v>11</v>
      </c>
      <c r="C17" s="223"/>
      <c r="D17" s="38">
        <f>D16*75%</f>
        <v>32304</v>
      </c>
      <c r="E17" s="39">
        <f>E16*50%</f>
        <v>0</v>
      </c>
      <c r="F17" s="39">
        <f>F16*100%</f>
        <v>0</v>
      </c>
      <c r="G17" s="39">
        <f>G16*100%</f>
        <v>8480</v>
      </c>
      <c r="H17" s="40">
        <f>H16*100%</f>
        <v>0</v>
      </c>
      <c r="I17" s="20"/>
      <c r="J17" s="33">
        <f>SUM(D17:H17)</f>
        <v>40784</v>
      </c>
    </row>
    <row r="18" spans="1:10">
      <c r="A18" s="224" t="s">
        <v>20</v>
      </c>
      <c r="B18" s="224"/>
      <c r="C18" s="224"/>
      <c r="D18" s="224"/>
      <c r="E18" s="224"/>
      <c r="F18" s="224"/>
      <c r="G18" s="224"/>
      <c r="H18" s="224"/>
      <c r="I18" s="224"/>
      <c r="J18" s="225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18"/>
  <sheetViews>
    <sheetView workbookViewId="0">
      <selection activeCell="H4" sqref="H4"/>
    </sheetView>
  </sheetViews>
  <sheetFormatPr baseColWidth="10" defaultRowHeight="15" x14ac:dyDescent="0"/>
  <cols>
    <col min="2" max="2" width="15.83203125" customWidth="1"/>
    <col min="3" max="3" width="14.33203125" customWidth="1"/>
    <col min="5" max="5" width="15.33203125" customWidth="1"/>
    <col min="7" max="7" width="14.5" customWidth="1"/>
    <col min="8" max="8" width="14.6640625" customWidth="1"/>
  </cols>
  <sheetData>
    <row r="1" spans="1:10" ht="16">
      <c r="A1" s="1" t="s">
        <v>0</v>
      </c>
      <c r="B1" s="2"/>
      <c r="C1" s="2"/>
      <c r="D1" s="3"/>
      <c r="E1" s="3"/>
      <c r="F1" s="3"/>
      <c r="G1" s="3"/>
      <c r="H1" s="3"/>
      <c r="I1" s="14"/>
      <c r="J1" s="2"/>
    </row>
    <row r="2" spans="1:10" ht="16">
      <c r="A2" s="1" t="s">
        <v>1</v>
      </c>
      <c r="B2" s="2"/>
      <c r="C2" s="2"/>
      <c r="D2" s="3"/>
      <c r="E2" s="3"/>
      <c r="F2" s="3"/>
      <c r="G2" s="3"/>
      <c r="H2" s="3"/>
      <c r="I2" s="14"/>
      <c r="J2" s="2"/>
    </row>
    <row r="3" spans="1:10" ht="16">
      <c r="A3" s="6" t="s">
        <v>23</v>
      </c>
      <c r="B3" s="7" t="s">
        <v>117</v>
      </c>
      <c r="C3" s="110"/>
      <c r="D3" s="3"/>
      <c r="E3" s="3"/>
      <c r="F3" s="3"/>
      <c r="G3" s="3"/>
      <c r="H3" s="194" t="s">
        <v>156</v>
      </c>
      <c r="I3" s="14"/>
      <c r="J3" s="192"/>
    </row>
    <row r="4" spans="1:10">
      <c r="A4" s="2"/>
      <c r="B4" s="2"/>
      <c r="C4" s="2"/>
      <c r="D4" s="3"/>
      <c r="E4" s="3"/>
      <c r="F4" s="3"/>
      <c r="G4" s="5"/>
      <c r="H4" s="4"/>
      <c r="I4" s="14"/>
      <c r="J4" s="2"/>
    </row>
    <row r="5" spans="1:10">
      <c r="A5" s="226" t="s">
        <v>122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0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0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</row>
    <row r="8" spans="1:10">
      <c r="A8" s="227"/>
      <c r="B8" s="232" t="s">
        <v>5</v>
      </c>
      <c r="C8" s="233"/>
      <c r="D8" s="234"/>
      <c r="E8" s="235"/>
      <c r="F8" s="235"/>
      <c r="G8" s="236">
        <v>1150</v>
      </c>
      <c r="H8" s="237">
        <v>5750</v>
      </c>
      <c r="I8" s="238"/>
      <c r="J8" s="239">
        <f t="shared" ref="J8:J14" si="0">SUM(D8:H8)</f>
        <v>6900</v>
      </c>
    </row>
    <row r="9" spans="1:10">
      <c r="A9" s="227"/>
      <c r="B9" s="240" t="s">
        <v>4</v>
      </c>
      <c r="C9" s="241"/>
      <c r="D9" s="242"/>
      <c r="E9" s="243"/>
      <c r="F9" s="243"/>
      <c r="G9" s="244"/>
      <c r="H9" s="245"/>
      <c r="I9" s="238"/>
      <c r="J9" s="246">
        <f t="shared" si="0"/>
        <v>0</v>
      </c>
    </row>
    <row r="10" spans="1:10" ht="15" customHeight="1">
      <c r="A10" s="227"/>
      <c r="B10" s="658" t="s">
        <v>19</v>
      </c>
      <c r="C10" s="247" t="s">
        <v>12</v>
      </c>
      <c r="D10" s="242"/>
      <c r="E10" s="243"/>
      <c r="F10" s="243"/>
      <c r="G10" s="244">
        <v>350</v>
      </c>
      <c r="H10" s="245">
        <v>250</v>
      </c>
      <c r="I10" s="238"/>
      <c r="J10" s="246">
        <f t="shared" si="0"/>
        <v>600</v>
      </c>
    </row>
    <row r="11" spans="1:10">
      <c r="A11" s="227"/>
      <c r="B11" s="659"/>
      <c r="C11" s="247" t="s">
        <v>13</v>
      </c>
      <c r="D11" s="242"/>
      <c r="E11" s="243"/>
      <c r="F11" s="243"/>
      <c r="G11" s="244">
        <v>3500</v>
      </c>
      <c r="H11" s="245">
        <v>5000</v>
      </c>
      <c r="I11" s="238"/>
      <c r="J11" s="246">
        <f t="shared" si="0"/>
        <v>8500</v>
      </c>
    </row>
    <row r="12" spans="1:10">
      <c r="A12" s="227"/>
      <c r="B12" s="659"/>
      <c r="C12" s="247" t="s">
        <v>14</v>
      </c>
      <c r="D12" s="242"/>
      <c r="E12" s="243"/>
      <c r="F12" s="243"/>
      <c r="G12" s="244"/>
      <c r="H12" s="245"/>
      <c r="I12" s="238"/>
      <c r="J12" s="246">
        <f t="shared" si="0"/>
        <v>0</v>
      </c>
    </row>
    <row r="13" spans="1:10">
      <c r="A13" s="227"/>
      <c r="B13" s="660"/>
      <c r="C13" s="248" t="s">
        <v>15</v>
      </c>
      <c r="D13" s="249">
        <f>SUM(D10:D12)</f>
        <v>0</v>
      </c>
      <c r="E13" s="243">
        <f>SUM(E10:E12)</f>
        <v>0</v>
      </c>
      <c r="F13" s="243">
        <f>SUM(F10:F12)</f>
        <v>0</v>
      </c>
      <c r="G13" s="243">
        <f>SUM(G10:G12)</f>
        <v>3850</v>
      </c>
      <c r="H13" s="250">
        <f>SUM(H10:H12)</f>
        <v>5250</v>
      </c>
      <c r="I13" s="238"/>
      <c r="J13" s="246">
        <f t="shared" si="0"/>
        <v>9100</v>
      </c>
    </row>
    <row r="14" spans="1:10" ht="31" thickBot="1">
      <c r="A14" s="227"/>
      <c r="B14" s="251" t="s">
        <v>18</v>
      </c>
      <c r="C14" s="252" t="s">
        <v>121</v>
      </c>
      <c r="D14" s="253">
        <f>(D13+D8)*20%</f>
        <v>0</v>
      </c>
      <c r="E14" s="254"/>
      <c r="F14" s="254"/>
      <c r="G14" s="253">
        <f>(G13+G8)*20%</f>
        <v>1000</v>
      </c>
      <c r="H14" s="255">
        <f>(H13+H8)*20%</f>
        <v>2200</v>
      </c>
      <c r="I14" s="238"/>
      <c r="J14" s="256">
        <f t="shared" si="0"/>
        <v>3200</v>
      </c>
    </row>
    <row r="15" spans="1:10" ht="16" thickBot="1">
      <c r="A15" s="227"/>
      <c r="B15" s="257"/>
      <c r="C15" s="258"/>
      <c r="D15" s="259"/>
      <c r="E15" s="259"/>
      <c r="F15" s="259"/>
      <c r="G15" s="259"/>
      <c r="H15" s="259"/>
      <c r="I15" s="238"/>
      <c r="J15" s="238"/>
    </row>
    <row r="16" spans="1:10">
      <c r="A16" s="227"/>
      <c r="B16" s="260" t="s">
        <v>6</v>
      </c>
      <c r="C16" s="261"/>
      <c r="D16" s="262">
        <f>D8+D9+D13+D14</f>
        <v>0</v>
      </c>
      <c r="E16" s="263">
        <f>E8+E9+E13+E14</f>
        <v>0</v>
      </c>
      <c r="F16" s="263">
        <f>F8+F9+F13+F14</f>
        <v>0</v>
      </c>
      <c r="G16" s="263">
        <f>G8+G9+G13+G14</f>
        <v>6000</v>
      </c>
      <c r="H16" s="264">
        <f>H8+H9+H13+H14</f>
        <v>13200</v>
      </c>
      <c r="I16" s="238"/>
      <c r="J16" s="239">
        <f>J8+J9+J13+J14</f>
        <v>19200</v>
      </c>
    </row>
    <row r="17" spans="1:10" ht="31" thickBot="1">
      <c r="A17" s="227"/>
      <c r="B17" s="265" t="s">
        <v>11</v>
      </c>
      <c r="C17" s="266"/>
      <c r="D17" s="267">
        <f>D16*75%</f>
        <v>0</v>
      </c>
      <c r="E17" s="268">
        <f>E16*50%</f>
        <v>0</v>
      </c>
      <c r="F17" s="268">
        <f>F16*100%</f>
        <v>0</v>
      </c>
      <c r="G17" s="268">
        <f>G16*100%</f>
        <v>6000</v>
      </c>
      <c r="H17" s="269">
        <f>H16*100%</f>
        <v>13200</v>
      </c>
      <c r="I17" s="238"/>
      <c r="J17" s="256">
        <f>SUM(D17:H17)</f>
        <v>19200</v>
      </c>
    </row>
    <row r="18" spans="1:10">
      <c r="A18" s="270" t="s">
        <v>20</v>
      </c>
      <c r="B18" s="270"/>
      <c r="C18" s="227"/>
      <c r="D18" s="271"/>
      <c r="E18" s="271"/>
      <c r="F18" s="271"/>
      <c r="G18" s="271"/>
      <c r="H18" s="271"/>
      <c r="I18" s="272"/>
      <c r="J18" s="273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L49"/>
  <sheetViews>
    <sheetView tabSelected="1" workbookViewId="0">
      <selection activeCell="H4" sqref="H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109</v>
      </c>
      <c r="C3" s="110"/>
      <c r="D3" s="3" t="s">
        <v>112</v>
      </c>
      <c r="H3" s="445">
        <v>42746</v>
      </c>
    </row>
    <row r="4" spans="1:10">
      <c r="G4" s="5"/>
      <c r="H4" s="4"/>
    </row>
    <row r="5" spans="1:10">
      <c r="A5" s="274" t="s">
        <v>201</v>
      </c>
      <c r="B5" s="275"/>
      <c r="C5" s="275"/>
      <c r="D5" s="276"/>
      <c r="E5" s="276"/>
      <c r="F5" s="276"/>
      <c r="G5" s="276"/>
      <c r="H5" s="276"/>
      <c r="I5" s="277"/>
      <c r="J5" s="275"/>
    </row>
    <row r="6" spans="1:10" ht="30">
      <c r="A6" s="274" t="s">
        <v>111</v>
      </c>
      <c r="B6" s="275"/>
      <c r="C6" s="275"/>
      <c r="D6" s="278" t="s">
        <v>8</v>
      </c>
      <c r="E6" s="278" t="s">
        <v>2</v>
      </c>
      <c r="F6" s="278" t="s">
        <v>3</v>
      </c>
      <c r="G6" s="278" t="s">
        <v>9</v>
      </c>
      <c r="H6" s="278" t="s">
        <v>10</v>
      </c>
      <c r="I6" s="277"/>
      <c r="J6" s="279" t="s">
        <v>7</v>
      </c>
    </row>
    <row r="7" spans="1:10" ht="16" thickBot="1">
      <c r="A7" s="275"/>
      <c r="B7" s="275"/>
      <c r="C7" s="275"/>
      <c r="D7" s="279"/>
      <c r="E7" s="279"/>
      <c r="F7" s="279"/>
      <c r="G7" s="279"/>
      <c r="H7" s="279"/>
      <c r="I7" s="277"/>
      <c r="J7" s="275"/>
    </row>
    <row r="8" spans="1:10">
      <c r="A8" s="275"/>
      <c r="B8" s="280" t="s">
        <v>5</v>
      </c>
      <c r="C8" s="281"/>
      <c r="D8" s="282">
        <v>0</v>
      </c>
      <c r="E8" s="283"/>
      <c r="F8" s="283"/>
      <c r="G8" s="284">
        <v>1475</v>
      </c>
      <c r="H8" s="285">
        <v>3739</v>
      </c>
      <c r="I8" s="286"/>
      <c r="J8" s="287">
        <f>SUM(D8:H8)</f>
        <v>5214</v>
      </c>
    </row>
    <row r="9" spans="1:10">
      <c r="A9" s="275"/>
      <c r="B9" s="288" t="s">
        <v>4</v>
      </c>
      <c r="C9" s="289"/>
      <c r="D9" s="290"/>
      <c r="E9" s="291"/>
      <c r="F9" s="291"/>
      <c r="G9" s="292">
        <v>0</v>
      </c>
      <c r="H9" s="293"/>
      <c r="I9" s="286"/>
      <c r="J9" s="294">
        <f t="shared" ref="J9:J14" si="0">SUM(D9:H9)</f>
        <v>0</v>
      </c>
    </row>
    <row r="10" spans="1:10" ht="15" customHeight="1">
      <c r="A10" s="275"/>
      <c r="B10" s="661" t="s">
        <v>19</v>
      </c>
      <c r="C10" s="295" t="s">
        <v>12</v>
      </c>
      <c r="D10" s="290">
        <v>0</v>
      </c>
      <c r="E10" s="291"/>
      <c r="F10" s="291"/>
      <c r="G10" s="292">
        <v>0</v>
      </c>
      <c r="H10" s="293">
        <v>5200</v>
      </c>
      <c r="I10" s="286"/>
      <c r="J10" s="294">
        <f t="shared" si="0"/>
        <v>5200</v>
      </c>
    </row>
    <row r="11" spans="1:10">
      <c r="A11" s="275"/>
      <c r="B11" s="662"/>
      <c r="C11" s="295" t="s">
        <v>13</v>
      </c>
      <c r="D11" s="290">
        <v>0</v>
      </c>
      <c r="E11" s="291"/>
      <c r="F11" s="291"/>
      <c r="G11" s="292">
        <v>3250</v>
      </c>
      <c r="H11" s="293">
        <v>6000</v>
      </c>
      <c r="I11" s="286"/>
      <c r="J11" s="294">
        <f t="shared" si="0"/>
        <v>9250</v>
      </c>
    </row>
    <row r="12" spans="1:10">
      <c r="A12" s="275"/>
      <c r="B12" s="662"/>
      <c r="C12" s="295" t="s">
        <v>14</v>
      </c>
      <c r="D12" s="290">
        <v>0</v>
      </c>
      <c r="E12" s="291"/>
      <c r="F12" s="291"/>
      <c r="G12" s="292">
        <v>0</v>
      </c>
      <c r="H12" s="293">
        <v>0</v>
      </c>
      <c r="I12" s="286"/>
      <c r="J12" s="294">
        <f t="shared" si="0"/>
        <v>0</v>
      </c>
    </row>
    <row r="13" spans="1:10">
      <c r="A13" s="275"/>
      <c r="B13" s="662"/>
      <c r="C13" s="296" t="s">
        <v>15</v>
      </c>
      <c r="D13" s="297">
        <f>SUM(D10:D12)</f>
        <v>0</v>
      </c>
      <c r="E13" s="291"/>
      <c r="F13" s="291"/>
      <c r="G13" s="291">
        <f>SUM(G10:G12)</f>
        <v>3250</v>
      </c>
      <c r="H13" s="298">
        <f>SUM(H10:H12)</f>
        <v>11200</v>
      </c>
      <c r="I13" s="286"/>
      <c r="J13" s="294">
        <f t="shared" si="0"/>
        <v>14450</v>
      </c>
    </row>
    <row r="14" spans="1:10" ht="31" thickBot="1">
      <c r="A14" s="275"/>
      <c r="B14" s="299" t="s">
        <v>18</v>
      </c>
      <c r="C14" s="321" t="s">
        <v>133</v>
      </c>
      <c r="D14" s="300">
        <f>(D8+D13)*0.6</f>
        <v>0</v>
      </c>
      <c r="E14" s="300">
        <f>(E8+E13)*0.6</f>
        <v>0</v>
      </c>
      <c r="F14" s="300">
        <f>(F8+F13)*0.6</f>
        <v>0</v>
      </c>
      <c r="G14" s="301">
        <f>(G8+G13)*60%</f>
        <v>2835</v>
      </c>
      <c r="H14" s="300">
        <f>(H8+H13)*0.6</f>
        <v>8963.4</v>
      </c>
      <c r="I14" s="286"/>
      <c r="J14" s="302">
        <f t="shared" si="0"/>
        <v>11798.4</v>
      </c>
    </row>
    <row r="15" spans="1:10" ht="16" thickBot="1">
      <c r="A15" s="275"/>
      <c r="B15" s="303"/>
      <c r="C15" s="304"/>
      <c r="D15" s="305"/>
      <c r="E15" s="305"/>
      <c r="F15" s="305"/>
      <c r="G15" s="305"/>
      <c r="H15" s="305"/>
      <c r="I15" s="286"/>
      <c r="J15" s="286"/>
    </row>
    <row r="16" spans="1:10">
      <c r="A16" s="275"/>
      <c r="B16" s="306" t="s">
        <v>6</v>
      </c>
      <c r="C16" s="307"/>
      <c r="D16" s="308">
        <f>D8+D9+D13+D14</f>
        <v>0</v>
      </c>
      <c r="E16" s="309">
        <f>E8+E9+E13+E14</f>
        <v>0</v>
      </c>
      <c r="F16" s="309">
        <f>F8+F9+F13+F14</f>
        <v>0</v>
      </c>
      <c r="G16" s="309">
        <f>G8+G9+G13+G14</f>
        <v>7560</v>
      </c>
      <c r="H16" s="310">
        <f>H8+H9+H13+H14</f>
        <v>23902.400000000001</v>
      </c>
      <c r="I16" s="286"/>
      <c r="J16" s="287">
        <f>J8+J9+J13+J14</f>
        <v>31462.400000000001</v>
      </c>
    </row>
    <row r="17" spans="1:12" ht="31" thickBot="1">
      <c r="A17" s="275"/>
      <c r="B17" s="311" t="s">
        <v>11</v>
      </c>
      <c r="C17" s="312"/>
      <c r="D17" s="313">
        <f>D16*75%</f>
        <v>0</v>
      </c>
      <c r="E17" s="314">
        <f>E16*50%</f>
        <v>0</v>
      </c>
      <c r="F17" s="314">
        <f>F16*100%</f>
        <v>0</v>
      </c>
      <c r="G17" s="314">
        <f>G16*100%</f>
        <v>7560</v>
      </c>
      <c r="H17" s="315">
        <f>H16*100%</f>
        <v>23902.400000000001</v>
      </c>
      <c r="I17" s="286"/>
      <c r="J17" s="302">
        <f>SUM(D17:H17)</f>
        <v>31462.400000000001</v>
      </c>
      <c r="K17" s="450">
        <f>J17-J33</f>
        <v>3521.6000000000022</v>
      </c>
      <c r="L17" s="451" t="s">
        <v>182</v>
      </c>
    </row>
    <row r="18" spans="1:12">
      <c r="A18" s="316" t="s">
        <v>20</v>
      </c>
      <c r="B18" s="316"/>
      <c r="C18" s="275"/>
      <c r="D18" s="317"/>
      <c r="E18" s="317"/>
      <c r="F18" s="317"/>
      <c r="G18" s="317"/>
      <c r="H18" s="317"/>
      <c r="I18" s="318"/>
      <c r="J18" s="319"/>
    </row>
    <row r="19" spans="1:12">
      <c r="D19" s="44"/>
      <c r="E19" s="44"/>
      <c r="F19" s="44"/>
      <c r="G19" s="44"/>
      <c r="H19" s="44"/>
      <c r="I19" s="45"/>
      <c r="J19" s="46"/>
    </row>
    <row r="20" spans="1:12">
      <c r="D20" s="44"/>
      <c r="E20" s="44"/>
      <c r="F20" s="44"/>
      <c r="G20" s="44"/>
      <c r="H20" s="44"/>
      <c r="I20" s="45"/>
      <c r="J20" s="46"/>
    </row>
    <row r="21" spans="1:12">
      <c r="A21" s="274" t="s">
        <v>157</v>
      </c>
      <c r="B21" s="275"/>
      <c r="C21" s="275"/>
      <c r="D21" s="276"/>
      <c r="E21" s="276"/>
      <c r="F21" s="276"/>
      <c r="G21" s="276"/>
      <c r="H21" s="276"/>
      <c r="I21" s="277"/>
      <c r="J21" s="275"/>
    </row>
    <row r="22" spans="1:12" ht="30">
      <c r="A22" s="274" t="s">
        <v>111</v>
      </c>
      <c r="B22" s="275"/>
      <c r="C22" s="275"/>
      <c r="D22" s="278" t="s">
        <v>8</v>
      </c>
      <c r="E22" s="278" t="s">
        <v>2</v>
      </c>
      <c r="F22" s="278" t="s">
        <v>3</v>
      </c>
      <c r="G22" s="278" t="s">
        <v>9</v>
      </c>
      <c r="H22" s="278" t="s">
        <v>10</v>
      </c>
      <c r="I22" s="277"/>
      <c r="J22" s="279" t="s">
        <v>7</v>
      </c>
    </row>
    <row r="23" spans="1:12" ht="16" thickBot="1">
      <c r="A23" s="275"/>
      <c r="B23" s="275"/>
      <c r="C23" s="275"/>
      <c r="D23" s="279"/>
      <c r="E23" s="279"/>
      <c r="F23" s="279"/>
      <c r="G23" s="279"/>
      <c r="H23" s="279"/>
      <c r="I23" s="277"/>
      <c r="J23" s="275"/>
    </row>
    <row r="24" spans="1:12">
      <c r="A24" s="275"/>
      <c r="B24" s="280" t="s">
        <v>5</v>
      </c>
      <c r="C24" s="281"/>
      <c r="D24" s="282">
        <v>0</v>
      </c>
      <c r="E24" s="283"/>
      <c r="F24" s="283"/>
      <c r="G24" s="284">
        <v>1475</v>
      </c>
      <c r="H24" s="285">
        <v>3738</v>
      </c>
      <c r="I24" s="286"/>
      <c r="J24" s="287">
        <f>SUM(D24:H24)</f>
        <v>5213</v>
      </c>
    </row>
    <row r="25" spans="1:12">
      <c r="A25" s="275"/>
      <c r="B25" s="486" t="s">
        <v>4</v>
      </c>
      <c r="C25" s="289"/>
      <c r="D25" s="290"/>
      <c r="E25" s="291"/>
      <c r="F25" s="291"/>
      <c r="G25" s="292">
        <v>0</v>
      </c>
      <c r="H25" s="293"/>
      <c r="I25" s="286"/>
      <c r="J25" s="294">
        <f t="shared" ref="J25:J30" si="1">SUM(D25:H25)</f>
        <v>0</v>
      </c>
    </row>
    <row r="26" spans="1:12" ht="15" customHeight="1">
      <c r="A26" s="275"/>
      <c r="B26" s="661" t="s">
        <v>19</v>
      </c>
      <c r="C26" s="295" t="s">
        <v>12</v>
      </c>
      <c r="D26" s="290">
        <v>0</v>
      </c>
      <c r="E26" s="291"/>
      <c r="F26" s="291"/>
      <c r="G26" s="292">
        <v>0</v>
      </c>
      <c r="H26" s="293">
        <v>3000</v>
      </c>
      <c r="I26" s="286"/>
      <c r="J26" s="294">
        <f t="shared" si="1"/>
        <v>3000</v>
      </c>
    </row>
    <row r="27" spans="1:12">
      <c r="A27" s="275"/>
      <c r="B27" s="662"/>
      <c r="C27" s="295" t="s">
        <v>13</v>
      </c>
      <c r="D27" s="290">
        <v>0</v>
      </c>
      <c r="E27" s="291"/>
      <c r="F27" s="291"/>
      <c r="G27" s="292">
        <v>3250</v>
      </c>
      <c r="H27" s="293">
        <v>6000</v>
      </c>
      <c r="I27" s="286"/>
      <c r="J27" s="294">
        <f t="shared" si="1"/>
        <v>9250</v>
      </c>
    </row>
    <row r="28" spans="1:12">
      <c r="A28" s="275"/>
      <c r="B28" s="662"/>
      <c r="C28" s="295" t="s">
        <v>14</v>
      </c>
      <c r="D28" s="290">
        <v>0</v>
      </c>
      <c r="E28" s="291"/>
      <c r="F28" s="291"/>
      <c r="G28" s="292">
        <v>0</v>
      </c>
      <c r="H28" s="293">
        <v>0</v>
      </c>
      <c r="I28" s="286"/>
      <c r="J28" s="294">
        <f t="shared" si="1"/>
        <v>0</v>
      </c>
    </row>
    <row r="29" spans="1:12">
      <c r="A29" s="275"/>
      <c r="B29" s="662"/>
      <c r="C29" s="296" t="s">
        <v>15</v>
      </c>
      <c r="D29" s="297">
        <f>SUM(D26:D28)</f>
        <v>0</v>
      </c>
      <c r="E29" s="291"/>
      <c r="F29" s="291"/>
      <c r="G29" s="291">
        <f>SUM(G26:G28)</f>
        <v>3250</v>
      </c>
      <c r="H29" s="298">
        <f>SUM(H26:H28)</f>
        <v>9000</v>
      </c>
      <c r="I29" s="286"/>
      <c r="J29" s="294">
        <f t="shared" si="1"/>
        <v>12250</v>
      </c>
    </row>
    <row r="30" spans="1:12" ht="31" thickBot="1">
      <c r="A30" s="275"/>
      <c r="B30" s="299" t="s">
        <v>18</v>
      </c>
      <c r="C30" s="321" t="s">
        <v>133</v>
      </c>
      <c r="D30" s="300">
        <f>(D24+D29)*0.6</f>
        <v>0</v>
      </c>
      <c r="E30" s="300">
        <f>(E24+E29)*0.6</f>
        <v>0</v>
      </c>
      <c r="F30" s="300">
        <f>(F24+F29)*0.6</f>
        <v>0</v>
      </c>
      <c r="G30" s="301">
        <f>(G24+G29)*60%</f>
        <v>2835</v>
      </c>
      <c r="H30" s="300">
        <f>(H24+H29)*0.6</f>
        <v>7642.7999999999993</v>
      </c>
      <c r="I30" s="286"/>
      <c r="J30" s="302">
        <f t="shared" si="1"/>
        <v>10477.799999999999</v>
      </c>
    </row>
    <row r="31" spans="1:12" ht="16" thickBot="1">
      <c r="A31" s="275"/>
      <c r="B31" s="303"/>
      <c r="C31" s="304"/>
      <c r="D31" s="305"/>
      <c r="E31" s="305"/>
      <c r="F31" s="305"/>
      <c r="G31" s="305"/>
      <c r="H31" s="305"/>
      <c r="I31" s="286"/>
      <c r="J31" s="286"/>
    </row>
    <row r="32" spans="1:12">
      <c r="A32" s="275"/>
      <c r="B32" s="306" t="s">
        <v>6</v>
      </c>
      <c r="C32" s="307"/>
      <c r="D32" s="308">
        <f>D24+D25+D29+D30</f>
        <v>0</v>
      </c>
      <c r="E32" s="309">
        <f>E24+E25+E29+E30</f>
        <v>0</v>
      </c>
      <c r="F32" s="309">
        <f>F24+F25+F29+F30</f>
        <v>0</v>
      </c>
      <c r="G32" s="309">
        <f>G24+G25+G29+G30</f>
        <v>7560</v>
      </c>
      <c r="H32" s="310">
        <f>H24+H25+H29+H30</f>
        <v>20380.8</v>
      </c>
      <c r="I32" s="286"/>
      <c r="J32" s="287">
        <f>J24+J25+J29+J30</f>
        <v>27940.799999999999</v>
      </c>
    </row>
    <row r="33" spans="1:11" ht="31" thickBot="1">
      <c r="A33" s="275"/>
      <c r="B33" s="311" t="s">
        <v>11</v>
      </c>
      <c r="C33" s="312"/>
      <c r="D33" s="313">
        <f>D32*75%</f>
        <v>0</v>
      </c>
      <c r="E33" s="314">
        <f>E32*50%</f>
        <v>0</v>
      </c>
      <c r="F33" s="314">
        <f>F32*100%</f>
        <v>0</v>
      </c>
      <c r="G33" s="314">
        <f>G32*100%</f>
        <v>7560</v>
      </c>
      <c r="H33" s="315">
        <f>H32*100%</f>
        <v>20380.8</v>
      </c>
      <c r="I33" s="286"/>
      <c r="J33" s="302">
        <f>SUM(D33:H33)</f>
        <v>27940.799999999999</v>
      </c>
      <c r="K33" s="450">
        <f>J33-J49</f>
        <v>4140.7999999999993</v>
      </c>
    </row>
    <row r="34" spans="1:11">
      <c r="A34" s="316" t="s">
        <v>20</v>
      </c>
      <c r="B34" s="316"/>
      <c r="C34" s="275"/>
      <c r="D34" s="317"/>
      <c r="E34" s="317"/>
      <c r="F34" s="317"/>
      <c r="G34" s="317"/>
      <c r="H34" s="317"/>
      <c r="I34" s="318"/>
      <c r="J34" s="319"/>
    </row>
    <row r="35" spans="1:11">
      <c r="D35" s="44"/>
      <c r="E35" s="44"/>
      <c r="F35" s="44"/>
      <c r="G35" s="44"/>
      <c r="H35" s="44"/>
      <c r="I35" s="45"/>
      <c r="J35" s="46"/>
    </row>
    <row r="36" spans="1:11">
      <c r="A36" s="2" t="s">
        <v>157</v>
      </c>
      <c r="D36" s="44"/>
      <c r="E36" s="44"/>
      <c r="F36" s="44"/>
      <c r="G36" s="44"/>
      <c r="H36" s="44"/>
      <c r="I36" s="45"/>
      <c r="J36" s="46"/>
    </row>
    <row r="37" spans="1:11">
      <c r="A37" s="274" t="s">
        <v>110</v>
      </c>
      <c r="B37" s="275"/>
      <c r="C37" s="275"/>
      <c r="D37" s="276"/>
      <c r="E37" s="276"/>
      <c r="F37" s="276"/>
      <c r="G37" s="276"/>
      <c r="H37" s="276"/>
      <c r="I37" s="277"/>
      <c r="J37" s="275"/>
    </row>
    <row r="38" spans="1:11" ht="30">
      <c r="A38" s="274" t="s">
        <v>111</v>
      </c>
      <c r="B38" s="275"/>
      <c r="C38" s="275"/>
      <c r="D38" s="278" t="s">
        <v>8</v>
      </c>
      <c r="E38" s="278" t="s">
        <v>2</v>
      </c>
      <c r="F38" s="278" t="s">
        <v>3</v>
      </c>
      <c r="G38" s="278" t="s">
        <v>9</v>
      </c>
      <c r="H38" s="278" t="s">
        <v>10</v>
      </c>
      <c r="I38" s="277"/>
      <c r="J38" s="279" t="s">
        <v>7</v>
      </c>
    </row>
    <row r="39" spans="1:11" ht="16" thickBot="1">
      <c r="A39" s="275"/>
      <c r="B39" s="275"/>
      <c r="C39" s="275"/>
      <c r="D39" s="279"/>
      <c r="E39" s="279"/>
      <c r="F39" s="279"/>
      <c r="G39" s="279"/>
      <c r="H39" s="279"/>
      <c r="I39" s="277"/>
      <c r="J39" s="275"/>
    </row>
    <row r="40" spans="1:11">
      <c r="A40" s="275"/>
      <c r="B40" s="280" t="s">
        <v>5</v>
      </c>
      <c r="C40" s="281"/>
      <c r="D40" s="282">
        <v>0</v>
      </c>
      <c r="E40" s="283"/>
      <c r="F40" s="283"/>
      <c r="G40" s="284">
        <v>1475</v>
      </c>
      <c r="H40" s="285">
        <v>1150</v>
      </c>
      <c r="I40" s="286"/>
      <c r="J40" s="287">
        <f t="shared" ref="J40:J46" si="2">SUM(D40:H40)</f>
        <v>2625</v>
      </c>
    </row>
    <row r="41" spans="1:11">
      <c r="A41" s="275"/>
      <c r="B41" s="486" t="s">
        <v>4</v>
      </c>
      <c r="C41" s="289"/>
      <c r="D41" s="290"/>
      <c r="E41" s="291"/>
      <c r="F41" s="291"/>
      <c r="G41" s="292">
        <v>0</v>
      </c>
      <c r="H41" s="293"/>
      <c r="I41" s="286"/>
      <c r="J41" s="294">
        <f t="shared" si="2"/>
        <v>0</v>
      </c>
    </row>
    <row r="42" spans="1:11" ht="30">
      <c r="A42" s="275"/>
      <c r="B42" s="486" t="s">
        <v>19</v>
      </c>
      <c r="C42" s="295" t="s">
        <v>12</v>
      </c>
      <c r="D42" s="290">
        <v>0</v>
      </c>
      <c r="E42" s="291"/>
      <c r="F42" s="291"/>
      <c r="G42" s="292">
        <v>0</v>
      </c>
      <c r="H42" s="293">
        <v>3000</v>
      </c>
      <c r="I42" s="286"/>
      <c r="J42" s="294">
        <f t="shared" si="2"/>
        <v>3000</v>
      </c>
    </row>
    <row r="43" spans="1:11">
      <c r="A43" s="275"/>
      <c r="B43" s="487"/>
      <c r="C43" s="295" t="s">
        <v>13</v>
      </c>
      <c r="D43" s="290">
        <v>0</v>
      </c>
      <c r="E43" s="291"/>
      <c r="F43" s="291"/>
      <c r="G43" s="292">
        <v>3250</v>
      </c>
      <c r="H43" s="293">
        <v>6000</v>
      </c>
      <c r="I43" s="286"/>
      <c r="J43" s="294">
        <f t="shared" si="2"/>
        <v>9250</v>
      </c>
    </row>
    <row r="44" spans="1:11">
      <c r="A44" s="275"/>
      <c r="B44" s="487"/>
      <c r="C44" s="295" t="s">
        <v>14</v>
      </c>
      <c r="D44" s="290">
        <v>0</v>
      </c>
      <c r="E44" s="291"/>
      <c r="F44" s="291"/>
      <c r="G44" s="292">
        <v>0</v>
      </c>
      <c r="H44" s="293">
        <v>0</v>
      </c>
      <c r="I44" s="286"/>
      <c r="J44" s="294">
        <f t="shared" si="2"/>
        <v>0</v>
      </c>
    </row>
    <row r="45" spans="1:11">
      <c r="A45" s="275"/>
      <c r="B45" s="487"/>
      <c r="C45" s="296" t="s">
        <v>15</v>
      </c>
      <c r="D45" s="297">
        <f>SUM(D42:D44)</f>
        <v>0</v>
      </c>
      <c r="E45" s="291"/>
      <c r="F45" s="291"/>
      <c r="G45" s="291">
        <f>SUM(G42:G44)</f>
        <v>3250</v>
      </c>
      <c r="H45" s="298">
        <f>SUM(H42:H44)</f>
        <v>9000</v>
      </c>
      <c r="I45" s="286"/>
      <c r="J45" s="294">
        <f t="shared" si="2"/>
        <v>12250</v>
      </c>
    </row>
    <row r="46" spans="1:11" ht="31" thickBot="1">
      <c r="A46" s="275"/>
      <c r="B46" s="299" t="s">
        <v>18</v>
      </c>
      <c r="C46" s="321" t="s">
        <v>133</v>
      </c>
      <c r="D46" s="300">
        <f>(D40+D45)*0.6</f>
        <v>0</v>
      </c>
      <c r="E46" s="300">
        <f>(E40+E45)*0.6</f>
        <v>0</v>
      </c>
      <c r="F46" s="300">
        <f>(F40+F45)*0.6</f>
        <v>0</v>
      </c>
      <c r="G46" s="301">
        <f>(G40+G45)*60%</f>
        <v>2835</v>
      </c>
      <c r="H46" s="300">
        <f>(H40+H45)*0.6</f>
        <v>6090</v>
      </c>
      <c r="I46" s="286"/>
      <c r="J46" s="302">
        <f t="shared" si="2"/>
        <v>8925</v>
      </c>
    </row>
    <row r="47" spans="1:11" ht="16" thickBot="1">
      <c r="A47" s="275"/>
      <c r="B47" s="303"/>
      <c r="C47" s="304"/>
      <c r="D47" s="305"/>
      <c r="E47" s="305"/>
      <c r="F47" s="305"/>
      <c r="G47" s="305"/>
      <c r="H47" s="305"/>
      <c r="I47" s="286"/>
      <c r="J47" s="286"/>
    </row>
    <row r="48" spans="1:11">
      <c r="A48" s="275"/>
      <c r="B48" s="306" t="s">
        <v>6</v>
      </c>
      <c r="C48" s="307"/>
      <c r="D48" s="308">
        <f>D40+D41+D45+D46</f>
        <v>0</v>
      </c>
      <c r="E48" s="309">
        <f>E40+E41+E45+E46</f>
        <v>0</v>
      </c>
      <c r="F48" s="309">
        <f>F40+F41+F45+F46</f>
        <v>0</v>
      </c>
      <c r="G48" s="309">
        <f>G40+G41+G45+G46</f>
        <v>7560</v>
      </c>
      <c r="H48" s="310">
        <f>H40+H41+H45+H46</f>
        <v>16240</v>
      </c>
      <c r="I48" s="286"/>
      <c r="J48" s="287">
        <f>J40+J41+J45+J46</f>
        <v>23800</v>
      </c>
    </row>
    <row r="49" spans="1:10" ht="31" thickBot="1">
      <c r="A49" s="275"/>
      <c r="B49" s="311" t="s">
        <v>11</v>
      </c>
      <c r="C49" s="312"/>
      <c r="D49" s="313">
        <f>D48*75%</f>
        <v>0</v>
      </c>
      <c r="E49" s="314">
        <f>E48*50%</f>
        <v>0</v>
      </c>
      <c r="F49" s="314">
        <f>F48*100%</f>
        <v>0</v>
      </c>
      <c r="G49" s="314">
        <f>G48*100%</f>
        <v>7560</v>
      </c>
      <c r="H49" s="315">
        <f>H48*100%</f>
        <v>16240</v>
      </c>
      <c r="I49" s="286"/>
      <c r="J49" s="302">
        <f>SUM(D49:H49)</f>
        <v>23800</v>
      </c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J18"/>
  <sheetViews>
    <sheetView workbookViewId="0">
      <selection activeCell="H4" sqref="H4"/>
    </sheetView>
  </sheetViews>
  <sheetFormatPr baseColWidth="10" defaultRowHeight="15" x14ac:dyDescent="0"/>
  <cols>
    <col min="2" max="2" width="17.1640625" customWidth="1"/>
    <col min="3" max="3" width="14.1640625" customWidth="1"/>
    <col min="5" max="5" width="14.83203125" customWidth="1"/>
    <col min="7" max="7" width="13.1640625" customWidth="1"/>
    <col min="8" max="8" width="15.6640625" customWidth="1"/>
  </cols>
  <sheetData>
    <row r="1" spans="1:10" ht="16">
      <c r="A1" s="1" t="s">
        <v>0</v>
      </c>
      <c r="B1" s="2"/>
      <c r="C1" s="2"/>
      <c r="D1" s="3"/>
      <c r="E1" s="3"/>
      <c r="F1" s="3"/>
      <c r="G1" s="3"/>
      <c r="H1" s="3"/>
      <c r="I1" s="14"/>
      <c r="J1" s="2"/>
    </row>
    <row r="2" spans="1:10" ht="16">
      <c r="A2" s="1" t="s">
        <v>1</v>
      </c>
      <c r="B2" s="2"/>
      <c r="C2" s="2"/>
      <c r="D2" s="3"/>
      <c r="E2" s="3"/>
      <c r="F2" s="3"/>
      <c r="G2" s="3"/>
      <c r="H2" s="3"/>
      <c r="I2" s="14"/>
      <c r="J2" s="2"/>
    </row>
    <row r="3" spans="1:10" ht="16">
      <c r="A3" s="6" t="s">
        <v>23</v>
      </c>
      <c r="B3" s="7" t="s">
        <v>116</v>
      </c>
      <c r="C3" s="110"/>
      <c r="D3" s="3"/>
      <c r="E3" s="3"/>
      <c r="F3" s="3"/>
      <c r="G3" s="3"/>
      <c r="H3" s="193"/>
      <c r="I3" s="14"/>
      <c r="J3" s="192"/>
    </row>
    <row r="4" spans="1:10">
      <c r="A4" s="2"/>
      <c r="B4" s="2"/>
      <c r="C4" s="2"/>
      <c r="D4" s="3"/>
      <c r="E4" s="3"/>
      <c r="F4" s="3"/>
      <c r="G4" s="5"/>
      <c r="H4" s="4"/>
      <c r="I4" s="14"/>
      <c r="J4" s="2"/>
    </row>
    <row r="5" spans="1:10">
      <c r="A5" s="48" t="s">
        <v>122</v>
      </c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11"/>
      <c r="D8" s="16"/>
      <c r="E8" s="17"/>
      <c r="F8" s="17"/>
      <c r="G8" s="18">
        <v>2500</v>
      </c>
      <c r="H8" s="19">
        <v>4000</v>
      </c>
      <c r="I8" s="20"/>
      <c r="J8" s="21">
        <f t="shared" ref="J8:J14" si="0">SUM(D8:H8)</f>
        <v>6500</v>
      </c>
    </row>
    <row r="9" spans="1:10">
      <c r="A9" s="8"/>
      <c r="B9" s="199" t="s">
        <v>4</v>
      </c>
      <c r="C9" s="112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113" t="s">
        <v>12</v>
      </c>
      <c r="D10" s="22"/>
      <c r="E10" s="23"/>
      <c r="F10" s="23"/>
      <c r="G10" s="24"/>
      <c r="H10" s="25">
        <v>2500</v>
      </c>
      <c r="I10" s="20"/>
      <c r="J10" s="26">
        <f t="shared" si="0"/>
        <v>2500</v>
      </c>
    </row>
    <row r="11" spans="1:10">
      <c r="A11" s="8"/>
      <c r="B11" s="663"/>
      <c r="C11" s="113" t="s">
        <v>13</v>
      </c>
      <c r="D11" s="22"/>
      <c r="E11" s="23"/>
      <c r="F11" s="23"/>
      <c r="G11" s="24">
        <v>2500</v>
      </c>
      <c r="H11" s="25">
        <v>5000</v>
      </c>
      <c r="I11" s="20"/>
      <c r="J11" s="26">
        <f t="shared" si="0"/>
        <v>7500</v>
      </c>
    </row>
    <row r="12" spans="1:10">
      <c r="A12" s="8"/>
      <c r="B12" s="663"/>
      <c r="C12" s="113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63"/>
      <c r="C13" s="114" t="s">
        <v>15</v>
      </c>
      <c r="D13" s="27">
        <f>SUM(D10:D12)</f>
        <v>0</v>
      </c>
      <c r="E13" s="23">
        <f>SUM(E10:E12)</f>
        <v>0</v>
      </c>
      <c r="F13" s="23">
        <f>SUM(F10:F12)</f>
        <v>0</v>
      </c>
      <c r="G13" s="23">
        <f>SUM(G10:G12)</f>
        <v>2500</v>
      </c>
      <c r="H13" s="28">
        <f>SUM(H10:H12)</f>
        <v>7500</v>
      </c>
      <c r="I13" s="20"/>
      <c r="J13" s="26">
        <f t="shared" si="0"/>
        <v>10000</v>
      </c>
    </row>
    <row r="14" spans="1:10" ht="31" thickBot="1">
      <c r="A14" s="8"/>
      <c r="B14" s="104" t="s">
        <v>18</v>
      </c>
      <c r="C14" s="115" t="s">
        <v>125</v>
      </c>
      <c r="D14" s="253">
        <f>(D13+D8)*20%</f>
        <v>0</v>
      </c>
      <c r="E14" s="254"/>
      <c r="F14" s="254"/>
      <c r="G14" s="253">
        <f>(G13+G8)*20%</f>
        <v>1000</v>
      </c>
      <c r="H14" s="255">
        <f>(H13+H8)*20%</f>
        <v>2300</v>
      </c>
      <c r="I14" s="20"/>
      <c r="J14" s="33">
        <f t="shared" si="0"/>
        <v>3300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0</v>
      </c>
      <c r="E16" s="36">
        <f>E8+E9+E13+E14</f>
        <v>0</v>
      </c>
      <c r="F16" s="36">
        <f>F8+F9+F13+F14</f>
        <v>0</v>
      </c>
      <c r="G16" s="36">
        <f>G8+G9+G13+G14</f>
        <v>6000</v>
      </c>
      <c r="H16" s="37">
        <f>H8+H9+H13+H14</f>
        <v>13800</v>
      </c>
      <c r="I16" s="20"/>
      <c r="J16" s="21">
        <f>J8+J9+J13+J14</f>
        <v>19800</v>
      </c>
    </row>
    <row r="17" spans="1:10" ht="31" thickBot="1">
      <c r="A17" s="8"/>
      <c r="B17" s="108" t="s">
        <v>11</v>
      </c>
      <c r="C17" s="109"/>
      <c r="D17" s="38">
        <f>D16*50%</f>
        <v>0</v>
      </c>
      <c r="E17" s="39">
        <f>E16*50%</f>
        <v>0</v>
      </c>
      <c r="F17" s="39">
        <f>F16*100%</f>
        <v>0</v>
      </c>
      <c r="G17" s="39">
        <f>G16*100%</f>
        <v>6000</v>
      </c>
      <c r="H17" s="40">
        <f>H16*100%</f>
        <v>13800</v>
      </c>
      <c r="I17" s="20"/>
      <c r="J17" s="33">
        <f>SUM(D17:H17)</f>
        <v>19800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K18"/>
  <sheetViews>
    <sheetView workbookViewId="0">
      <selection activeCell="H3" sqref="H3"/>
    </sheetView>
  </sheetViews>
  <sheetFormatPr baseColWidth="10" defaultRowHeight="15" x14ac:dyDescent="0"/>
  <cols>
    <col min="2" max="2" width="20.6640625" customWidth="1"/>
    <col min="3" max="3" width="17" customWidth="1"/>
    <col min="4" max="4" width="9.6640625" customWidth="1"/>
    <col min="5" max="5" width="13.6640625" customWidth="1"/>
    <col min="7" max="7" width="12.83203125" customWidth="1"/>
    <col min="8" max="8" width="17" customWidth="1"/>
  </cols>
  <sheetData>
    <row r="1" spans="1:10" ht="16">
      <c r="A1" s="1" t="s">
        <v>0</v>
      </c>
      <c r="B1" s="2"/>
      <c r="C1" s="2"/>
      <c r="D1" s="3"/>
      <c r="E1" s="3"/>
      <c r="F1" s="3"/>
      <c r="G1" s="3"/>
      <c r="H1" s="3"/>
      <c r="I1" s="14"/>
      <c r="J1" s="2"/>
    </row>
    <row r="2" spans="1:10" ht="16">
      <c r="A2" s="1" t="s">
        <v>1</v>
      </c>
      <c r="B2" s="2"/>
      <c r="C2" s="2"/>
      <c r="D2" s="3"/>
      <c r="E2" s="3"/>
      <c r="F2" s="3"/>
      <c r="G2" s="3"/>
      <c r="H2" s="3"/>
      <c r="I2" s="14"/>
      <c r="J2" s="2"/>
    </row>
    <row r="3" spans="1:10" ht="16">
      <c r="A3" s="6" t="s">
        <v>23</v>
      </c>
      <c r="B3" s="7" t="s">
        <v>114</v>
      </c>
      <c r="C3" s="110"/>
      <c r="D3" s="3"/>
      <c r="E3" s="3"/>
      <c r="F3" s="3"/>
      <c r="G3" s="3"/>
      <c r="H3" s="194"/>
      <c r="I3" s="14"/>
      <c r="J3" s="192"/>
    </row>
    <row r="4" spans="1:10">
      <c r="A4" s="2"/>
      <c r="B4" s="2"/>
      <c r="C4" s="2"/>
      <c r="D4" s="3"/>
      <c r="E4" s="3"/>
      <c r="F4" s="3"/>
      <c r="G4" s="5"/>
      <c r="H4" s="4"/>
      <c r="I4" s="14"/>
      <c r="J4" s="2"/>
    </row>
    <row r="5" spans="1:10">
      <c r="A5" s="48" t="s">
        <v>123</v>
      </c>
      <c r="B5" s="8"/>
      <c r="C5" s="8"/>
      <c r="D5" s="9"/>
      <c r="E5" s="9"/>
      <c r="F5" s="9"/>
      <c r="G5" s="9"/>
      <c r="H5" s="9"/>
      <c r="I5" s="15"/>
      <c r="J5" s="8"/>
    </row>
    <row r="6" spans="1:10" ht="45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11"/>
      <c r="D8" s="282">
        <v>0</v>
      </c>
      <c r="E8" s="283"/>
      <c r="F8" s="283"/>
      <c r="G8" s="284">
        <v>2129</v>
      </c>
      <c r="H8" s="285">
        <v>6387</v>
      </c>
      <c r="I8" s="286"/>
      <c r="J8" s="287">
        <f t="shared" ref="J8:J14" si="0">SUM(D8:H8)</f>
        <v>8516</v>
      </c>
    </row>
    <row r="9" spans="1:10">
      <c r="A9" s="8"/>
      <c r="B9" s="199" t="s">
        <v>4</v>
      </c>
      <c r="C9" s="112"/>
      <c r="D9" s="290"/>
      <c r="E9" s="291"/>
      <c r="F9" s="291"/>
      <c r="G9" s="292">
        <v>0</v>
      </c>
      <c r="H9" s="293"/>
      <c r="I9" s="286"/>
      <c r="J9" s="294">
        <f t="shared" si="0"/>
        <v>0</v>
      </c>
    </row>
    <row r="10" spans="1:10">
      <c r="A10" s="8"/>
      <c r="B10" s="646" t="s">
        <v>19</v>
      </c>
      <c r="C10" s="113" t="s">
        <v>12</v>
      </c>
      <c r="D10" s="290">
        <v>0</v>
      </c>
      <c r="E10" s="291"/>
      <c r="F10" s="291"/>
      <c r="G10" s="292">
        <v>0</v>
      </c>
      <c r="H10" s="293"/>
      <c r="I10" s="286"/>
      <c r="J10" s="294">
        <f t="shared" si="0"/>
        <v>0</v>
      </c>
    </row>
    <row r="11" spans="1:10">
      <c r="A11" s="8"/>
      <c r="B11" s="663"/>
      <c r="C11" s="113" t="s">
        <v>13</v>
      </c>
      <c r="D11" s="290">
        <v>0</v>
      </c>
      <c r="E11" s="291"/>
      <c r="F11" s="291"/>
      <c r="G11" s="292">
        <v>2500</v>
      </c>
      <c r="H11" s="293">
        <v>6200</v>
      </c>
      <c r="I11" s="286"/>
      <c r="J11" s="294">
        <f t="shared" si="0"/>
        <v>8700</v>
      </c>
    </row>
    <row r="12" spans="1:10">
      <c r="A12" s="8"/>
      <c r="B12" s="663"/>
      <c r="C12" s="113" t="s">
        <v>14</v>
      </c>
      <c r="D12" s="290">
        <v>0</v>
      </c>
      <c r="E12" s="291"/>
      <c r="F12" s="291"/>
      <c r="G12" s="292">
        <v>0</v>
      </c>
      <c r="H12" s="293">
        <v>0</v>
      </c>
      <c r="I12" s="286"/>
      <c r="J12" s="294">
        <f t="shared" si="0"/>
        <v>0</v>
      </c>
    </row>
    <row r="13" spans="1:10">
      <c r="A13" s="8"/>
      <c r="B13" s="663"/>
      <c r="C13" s="114" t="s">
        <v>15</v>
      </c>
      <c r="D13" s="297">
        <f>SUM(D10:D12)</f>
        <v>0</v>
      </c>
      <c r="E13" s="291"/>
      <c r="F13" s="291"/>
      <c r="G13" s="291">
        <f>SUM(G10:G12)</f>
        <v>2500</v>
      </c>
      <c r="H13" s="298">
        <f>SUM(H10:H12)</f>
        <v>6200</v>
      </c>
      <c r="I13" s="286"/>
      <c r="J13" s="294">
        <f t="shared" si="0"/>
        <v>8700</v>
      </c>
    </row>
    <row r="14" spans="1:10" ht="31" thickBot="1">
      <c r="A14" s="8"/>
      <c r="B14" s="104" t="s">
        <v>18</v>
      </c>
      <c r="C14" s="115" t="s">
        <v>115</v>
      </c>
      <c r="D14" s="300">
        <f>(D8+D13)*0.2</f>
        <v>0</v>
      </c>
      <c r="E14" s="301">
        <f>(E8+E13)*0.2</f>
        <v>0</v>
      </c>
      <c r="F14" s="301">
        <f>(F8+F13)*0.2</f>
        <v>0</v>
      </c>
      <c r="G14" s="301">
        <f>(G8+G13)*0.2</f>
        <v>925.80000000000007</v>
      </c>
      <c r="H14" s="320">
        <f>(H8+H13)*0.2</f>
        <v>2517.4</v>
      </c>
      <c r="I14" s="286"/>
      <c r="J14" s="302">
        <f t="shared" si="0"/>
        <v>3443.2000000000003</v>
      </c>
    </row>
    <row r="15" spans="1:10" ht="16" thickBot="1">
      <c r="A15" s="8"/>
      <c r="B15" s="12"/>
      <c r="C15" s="13"/>
      <c r="D15" s="305"/>
      <c r="E15" s="305"/>
      <c r="F15" s="305"/>
      <c r="G15" s="305"/>
      <c r="H15" s="305"/>
      <c r="I15" s="286"/>
      <c r="J15" s="286"/>
    </row>
    <row r="16" spans="1:10">
      <c r="A16" s="8"/>
      <c r="B16" s="106" t="s">
        <v>6</v>
      </c>
      <c r="C16" s="107"/>
      <c r="D16" s="308">
        <f>D8+D9+D13+D14</f>
        <v>0</v>
      </c>
      <c r="E16" s="309">
        <f>E8+E9+E13+E14</f>
        <v>0</v>
      </c>
      <c r="F16" s="309">
        <f>F8+F9+F13+F14</f>
        <v>0</v>
      </c>
      <c r="G16" s="309">
        <f>G8+G9+G13+G14</f>
        <v>5554.8</v>
      </c>
      <c r="H16" s="310">
        <f>H8+H9+H13+H14</f>
        <v>15104.4</v>
      </c>
      <c r="I16" s="286"/>
      <c r="J16" s="287">
        <f>J8+J9+J13+J14</f>
        <v>20659.2</v>
      </c>
    </row>
    <row r="17" spans="1:11" ht="31" thickBot="1">
      <c r="A17" s="8"/>
      <c r="B17" s="108" t="s">
        <v>11</v>
      </c>
      <c r="C17" s="109"/>
      <c r="D17" s="313">
        <f>D16*75%</f>
        <v>0</v>
      </c>
      <c r="E17" s="314">
        <f>E16*50%</f>
        <v>0</v>
      </c>
      <c r="F17" s="314">
        <f>F16*100%</f>
        <v>0</v>
      </c>
      <c r="G17" s="314">
        <f>G16*100%</f>
        <v>5554.8</v>
      </c>
      <c r="H17" s="315">
        <f>H16*100%</f>
        <v>15104.4</v>
      </c>
      <c r="I17" s="286"/>
      <c r="J17" s="302">
        <f>SUM(D17:H17)</f>
        <v>20659.2</v>
      </c>
      <c r="K17" t="s">
        <v>132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</sheetPr>
  <dimension ref="A1:J18"/>
  <sheetViews>
    <sheetView workbookViewId="0">
      <selection activeCell="L56" sqref="L56"/>
    </sheetView>
  </sheetViews>
  <sheetFormatPr baseColWidth="10" defaultRowHeight="15" x14ac:dyDescent="0"/>
  <cols>
    <col min="2" max="2" width="15.5" customWidth="1"/>
    <col min="3" max="3" width="16.6640625" customWidth="1"/>
    <col min="7" max="7" width="13.5" customWidth="1"/>
    <col min="8" max="8" width="16.83203125" customWidth="1"/>
  </cols>
  <sheetData>
    <row r="1" spans="1:10" ht="16">
      <c r="A1" s="1" t="s">
        <v>0</v>
      </c>
      <c r="B1" s="2"/>
      <c r="C1" s="2"/>
      <c r="D1" s="3"/>
      <c r="E1" s="3"/>
      <c r="F1" s="3"/>
      <c r="G1" s="3"/>
      <c r="H1" s="3"/>
      <c r="I1" s="14"/>
      <c r="J1" s="2"/>
    </row>
    <row r="2" spans="1:10" ht="16">
      <c r="A2" s="1" t="s">
        <v>1</v>
      </c>
      <c r="B2" s="2"/>
      <c r="C2" s="2"/>
      <c r="D2" s="3"/>
      <c r="E2" s="3"/>
      <c r="F2" s="3"/>
      <c r="G2" s="3"/>
      <c r="H2" s="3"/>
      <c r="I2" s="14"/>
      <c r="J2" s="2"/>
    </row>
    <row r="3" spans="1:10" ht="16">
      <c r="A3" s="6" t="s">
        <v>23</v>
      </c>
      <c r="B3" s="7" t="s">
        <v>105</v>
      </c>
      <c r="C3" s="110"/>
      <c r="D3" s="3"/>
      <c r="E3" s="3"/>
      <c r="F3" s="3"/>
      <c r="G3" s="3"/>
      <c r="H3" s="3"/>
      <c r="I3" s="14"/>
      <c r="J3" s="192" t="s">
        <v>106</v>
      </c>
    </row>
    <row r="4" spans="1:10">
      <c r="A4" s="2"/>
      <c r="B4" s="2"/>
      <c r="C4" s="2"/>
      <c r="D4" s="3"/>
      <c r="E4" s="3"/>
      <c r="F4" s="3"/>
      <c r="G4" s="5"/>
      <c r="H4" s="4"/>
      <c r="I4" s="14"/>
      <c r="J4" s="2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11"/>
      <c r="D8" s="168"/>
      <c r="E8" s="169"/>
      <c r="F8" s="169"/>
      <c r="G8" s="170">
        <v>1500</v>
      </c>
      <c r="H8" s="171">
        <v>18000</v>
      </c>
      <c r="I8" s="172"/>
      <c r="J8" s="173">
        <f t="shared" ref="J8:J14" si="0">SUM(D8:H8)</f>
        <v>19500</v>
      </c>
    </row>
    <row r="9" spans="1:10">
      <c r="A9" s="8"/>
      <c r="B9" s="166" t="s">
        <v>4</v>
      </c>
      <c r="C9" s="112"/>
      <c r="D9" s="174"/>
      <c r="E9" s="175"/>
      <c r="F9" s="175"/>
      <c r="G9" s="176"/>
      <c r="H9" s="177">
        <v>8700</v>
      </c>
      <c r="I9" s="172"/>
      <c r="J9" s="178">
        <f t="shared" si="0"/>
        <v>8700</v>
      </c>
    </row>
    <row r="10" spans="1:10">
      <c r="A10" s="8"/>
      <c r="B10" s="646" t="s">
        <v>19</v>
      </c>
      <c r="C10" s="113" t="s">
        <v>12</v>
      </c>
      <c r="D10" s="174"/>
      <c r="E10" s="175"/>
      <c r="F10" s="175"/>
      <c r="G10" s="176"/>
      <c r="H10" s="177"/>
      <c r="I10" s="172"/>
      <c r="J10" s="178">
        <f t="shared" si="0"/>
        <v>0</v>
      </c>
    </row>
    <row r="11" spans="1:10">
      <c r="A11" s="8"/>
      <c r="B11" s="663"/>
      <c r="C11" s="113" t="s">
        <v>13</v>
      </c>
      <c r="D11" s="174"/>
      <c r="E11" s="175"/>
      <c r="F11" s="175"/>
      <c r="G11" s="176"/>
      <c r="H11" s="177">
        <v>6150</v>
      </c>
      <c r="I11" s="172"/>
      <c r="J11" s="178">
        <f t="shared" si="0"/>
        <v>6150</v>
      </c>
    </row>
    <row r="12" spans="1:10">
      <c r="A12" s="8"/>
      <c r="B12" s="663"/>
      <c r="C12" s="113" t="s">
        <v>14</v>
      </c>
      <c r="D12" s="174"/>
      <c r="E12" s="175"/>
      <c r="F12" s="175"/>
      <c r="G12" s="176"/>
      <c r="H12" s="177"/>
      <c r="I12" s="172"/>
      <c r="J12" s="178">
        <f t="shared" si="0"/>
        <v>0</v>
      </c>
    </row>
    <row r="13" spans="1:10">
      <c r="A13" s="8"/>
      <c r="B13" s="663"/>
      <c r="C13" s="114" t="s">
        <v>15</v>
      </c>
      <c r="D13" s="179">
        <f>SUM(D10:D12)</f>
        <v>0</v>
      </c>
      <c r="E13" s="175">
        <f>SUM(E10:E12)</f>
        <v>0</v>
      </c>
      <c r="F13" s="175">
        <f>SUM(F10:F12)</f>
        <v>0</v>
      </c>
      <c r="G13" s="175">
        <f>SUM(G10:G12)</f>
        <v>0</v>
      </c>
      <c r="H13" s="180">
        <f>SUM(H10:H12)</f>
        <v>6150</v>
      </c>
      <c r="I13" s="172"/>
      <c r="J13" s="178">
        <f t="shared" si="0"/>
        <v>6150</v>
      </c>
    </row>
    <row r="14" spans="1:10" ht="31" thickBot="1">
      <c r="A14" s="8"/>
      <c r="B14" s="104" t="s">
        <v>18</v>
      </c>
      <c r="C14" s="115"/>
      <c r="D14" s="181">
        <f>20%*(D8+D13)</f>
        <v>0</v>
      </c>
      <c r="E14" s="191">
        <f>20%*(E8+E13)</f>
        <v>0</v>
      </c>
      <c r="F14" s="191">
        <f>20%*(F8+F13)</f>
        <v>0</v>
      </c>
      <c r="G14" s="191">
        <f>20%*(G8+G13)</f>
        <v>300</v>
      </c>
      <c r="H14" s="182">
        <f>20%*(H8+H13)</f>
        <v>4830</v>
      </c>
      <c r="I14" s="172"/>
      <c r="J14" s="183">
        <f t="shared" si="0"/>
        <v>5130</v>
      </c>
    </row>
    <row r="15" spans="1:10" ht="16" thickBot="1">
      <c r="A15" s="8"/>
      <c r="B15" s="12"/>
      <c r="C15" s="13"/>
      <c r="D15" s="184"/>
      <c r="E15" s="184"/>
      <c r="F15" s="184"/>
      <c r="G15" s="184"/>
      <c r="H15" s="184"/>
      <c r="I15" s="172"/>
      <c r="J15" s="172"/>
    </row>
    <row r="16" spans="1:10">
      <c r="A16" s="8"/>
      <c r="B16" s="106" t="s">
        <v>6</v>
      </c>
      <c r="C16" s="107"/>
      <c r="D16" s="185">
        <f>D8+D9+D13+D14</f>
        <v>0</v>
      </c>
      <c r="E16" s="186">
        <f>E8+E9+E13+E14</f>
        <v>0</v>
      </c>
      <c r="F16" s="186">
        <f>F8+F9+F13+F14</f>
        <v>0</v>
      </c>
      <c r="G16" s="186">
        <f>G8+G9+G13+G14</f>
        <v>1800</v>
      </c>
      <c r="H16" s="187">
        <f>H8+H9+H13+H14</f>
        <v>37680</v>
      </c>
      <c r="I16" s="172"/>
      <c r="J16" s="173">
        <f>J8+J9+J13+J14</f>
        <v>39480</v>
      </c>
    </row>
    <row r="17" spans="1:10" ht="31" thickBot="1">
      <c r="A17" s="8"/>
      <c r="B17" s="108" t="s">
        <v>11</v>
      </c>
      <c r="C17" s="109"/>
      <c r="D17" s="188">
        <f>D16*75%</f>
        <v>0</v>
      </c>
      <c r="E17" s="189">
        <f>E16*50%</f>
        <v>0</v>
      </c>
      <c r="F17" s="189">
        <f>F16*100%</f>
        <v>0</v>
      </c>
      <c r="G17" s="189">
        <f>G16*100%</f>
        <v>1800</v>
      </c>
      <c r="H17" s="190">
        <f>H16*100%</f>
        <v>37680</v>
      </c>
      <c r="I17" s="172"/>
      <c r="J17" s="183">
        <f>SUM(D17:H17)</f>
        <v>39480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K31"/>
  <sheetViews>
    <sheetView workbookViewId="0">
      <selection activeCell="C27" sqref="C27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24</v>
      </c>
      <c r="C3" s="110"/>
      <c r="H3" s="194" t="s">
        <v>160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353344</v>
      </c>
      <c r="E8" s="17"/>
      <c r="F8" s="17"/>
      <c r="G8" s="18"/>
      <c r="H8" s="19"/>
      <c r="I8" s="20"/>
      <c r="J8" s="21">
        <f t="shared" ref="J8:J14" si="0">SUM(D8:H8)</f>
        <v>353344</v>
      </c>
    </row>
    <row r="9" spans="1:10">
      <c r="A9" s="8"/>
      <c r="B9" s="103" t="s">
        <v>4</v>
      </c>
      <c r="C9" s="86"/>
      <c r="D9" s="22"/>
      <c r="E9" s="23"/>
      <c r="F9" s="23"/>
      <c r="G9" s="24">
        <v>2000</v>
      </c>
      <c r="H9" s="25"/>
      <c r="I9" s="20"/>
      <c r="J9" s="26">
        <f t="shared" si="0"/>
        <v>2000</v>
      </c>
    </row>
    <row r="10" spans="1:10">
      <c r="A10" s="8"/>
      <c r="B10" s="646" t="s">
        <v>19</v>
      </c>
      <c r="C10" s="87" t="s">
        <v>12</v>
      </c>
      <c r="D10" s="22">
        <v>176300</v>
      </c>
      <c r="E10" s="23"/>
      <c r="F10" s="23"/>
      <c r="G10" s="24"/>
      <c r="H10" s="25"/>
      <c r="I10" s="20"/>
      <c r="J10" s="26">
        <f t="shared" si="0"/>
        <v>176300</v>
      </c>
    </row>
    <row r="11" spans="1:10">
      <c r="A11" s="8"/>
      <c r="B11" s="647"/>
      <c r="C11" s="87" t="s">
        <v>13</v>
      </c>
      <c r="D11" s="22">
        <v>15000</v>
      </c>
      <c r="E11" s="23"/>
      <c r="F11" s="23"/>
      <c r="G11" s="24">
        <v>6025</v>
      </c>
      <c r="H11" s="25"/>
      <c r="I11" s="20"/>
      <c r="J11" s="26">
        <f t="shared" si="0"/>
        <v>21025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191300</v>
      </c>
      <c r="E13" s="23">
        <f>SUM(E10:E12)</f>
        <v>0</v>
      </c>
      <c r="F13" s="23">
        <f>SUM(F10:F12)</f>
        <v>0</v>
      </c>
      <c r="G13" s="23">
        <f>SUM(G10:G12)</f>
        <v>6025</v>
      </c>
      <c r="H13" s="28">
        <f>SUM(H10:H12)</f>
        <v>0</v>
      </c>
      <c r="I13" s="20"/>
      <c r="J13" s="26">
        <f t="shared" si="0"/>
        <v>197325</v>
      </c>
    </row>
    <row r="14" spans="1:10" ht="46" thickBot="1">
      <c r="A14" s="8"/>
      <c r="B14" s="104" t="s">
        <v>18</v>
      </c>
      <c r="C14" s="105" t="s">
        <v>131</v>
      </c>
      <c r="D14" s="31">
        <f>(D13+D8)*60%</f>
        <v>326786.39999999997</v>
      </c>
      <c r="E14" s="30"/>
      <c r="F14" s="30"/>
      <c r="G14" s="31">
        <f>(G13+G8)*60%</f>
        <v>3615</v>
      </c>
      <c r="H14" s="32"/>
      <c r="I14" s="20"/>
      <c r="J14" s="33">
        <f t="shared" si="0"/>
        <v>330401.39999999997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871430.39999999991</v>
      </c>
      <c r="E16" s="36">
        <f>E8+E9+E13+E14</f>
        <v>0</v>
      </c>
      <c r="F16" s="36">
        <f>F8+F9+F13+F14</f>
        <v>0</v>
      </c>
      <c r="G16" s="36">
        <f>G8+G9+G13+G14</f>
        <v>11640</v>
      </c>
      <c r="H16" s="37">
        <f>H8+H9+H13+H14</f>
        <v>0</v>
      </c>
      <c r="I16" s="20"/>
      <c r="J16" s="21">
        <f>J8+J9+J13+J14</f>
        <v>883070.39999999991</v>
      </c>
    </row>
    <row r="17" spans="1:11" ht="31" thickBot="1">
      <c r="A17" s="8"/>
      <c r="B17" s="108" t="s">
        <v>11</v>
      </c>
      <c r="C17" s="109"/>
      <c r="D17" s="38">
        <f>D16*75%</f>
        <v>653572.79999999993</v>
      </c>
      <c r="E17" s="39">
        <f>E16*50%</f>
        <v>0</v>
      </c>
      <c r="F17" s="39">
        <f>F16*100%</f>
        <v>0</v>
      </c>
      <c r="G17" s="39">
        <f>G16*100%</f>
        <v>11640</v>
      </c>
      <c r="H17" s="40">
        <f>H16*100%</f>
        <v>0</v>
      </c>
      <c r="I17" s="20"/>
      <c r="J17" s="33">
        <f>SUM(D17:H17)</f>
        <v>665212.79999999993</v>
      </c>
      <c r="K17" t="s">
        <v>113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  <row r="21" spans="1:11">
      <c r="A21" s="379" t="s">
        <v>152</v>
      </c>
      <c r="B21" s="379"/>
      <c r="C21" s="379"/>
      <c r="D21" s="380"/>
      <c r="E21" s="380"/>
      <c r="F21" s="380"/>
      <c r="G21" s="380"/>
      <c r="H21" s="380"/>
    </row>
    <row r="22" spans="1:11">
      <c r="A22" s="379" t="s">
        <v>153</v>
      </c>
      <c r="B22" s="379"/>
      <c r="C22" s="379"/>
      <c r="D22" s="380"/>
      <c r="E22" s="380"/>
      <c r="F22" s="380"/>
      <c r="G22" s="380"/>
      <c r="H22" s="380"/>
    </row>
    <row r="23" spans="1:11">
      <c r="A23" s="379"/>
      <c r="B23" s="379"/>
      <c r="C23" s="379"/>
      <c r="D23" s="380"/>
      <c r="E23" s="380"/>
      <c r="F23" s="380"/>
      <c r="G23" s="380"/>
      <c r="H23" s="380"/>
    </row>
    <row r="24" spans="1:11">
      <c r="A24" s="379" t="s">
        <v>161</v>
      </c>
      <c r="B24" s="379"/>
      <c r="C24" s="379"/>
      <c r="D24" s="380"/>
      <c r="E24" s="380"/>
      <c r="F24" s="380"/>
      <c r="G24" s="380"/>
      <c r="H24" s="380"/>
    </row>
    <row r="25" spans="1:11">
      <c r="A25" s="379"/>
      <c r="B25" s="379"/>
      <c r="C25" s="379"/>
      <c r="D25" s="380"/>
      <c r="E25" s="380"/>
      <c r="F25" s="380"/>
      <c r="G25" s="380"/>
      <c r="H25" s="380"/>
    </row>
    <row r="26" spans="1:11">
      <c r="A26" s="379" t="s">
        <v>171</v>
      </c>
      <c r="B26" s="379"/>
      <c r="C26" s="379"/>
      <c r="D26" s="380"/>
      <c r="E26" s="380"/>
      <c r="F26" s="380"/>
      <c r="G26" s="380"/>
      <c r="H26" s="380"/>
    </row>
    <row r="27" spans="1:11">
      <c r="A27" s="379"/>
      <c r="B27" s="379"/>
      <c r="C27" s="379"/>
      <c r="D27" s="380"/>
      <c r="E27" s="380"/>
      <c r="F27" s="380"/>
      <c r="G27" s="380"/>
      <c r="H27" s="380"/>
    </row>
    <row r="28" spans="1:11">
      <c r="A28" s="379"/>
      <c r="B28" s="379"/>
      <c r="C28" s="379"/>
      <c r="D28" s="380"/>
      <c r="E28" s="380"/>
      <c r="F28" s="380"/>
      <c r="G28" s="380"/>
      <c r="H28" s="380"/>
    </row>
    <row r="29" spans="1:11">
      <c r="A29" s="379"/>
      <c r="B29" s="379"/>
      <c r="C29" s="379"/>
      <c r="D29" s="380"/>
      <c r="E29" s="380"/>
      <c r="F29" s="380"/>
      <c r="G29" s="380"/>
      <c r="H29" s="380"/>
    </row>
    <row r="30" spans="1:11">
      <c r="A30" s="379"/>
      <c r="B30" s="379"/>
      <c r="C30" s="379"/>
      <c r="D30" s="380"/>
      <c r="E30" s="380"/>
      <c r="F30" s="380"/>
      <c r="G30" s="380"/>
      <c r="H30" s="380"/>
    </row>
    <row r="31" spans="1:11">
      <c r="A31" s="379"/>
      <c r="B31" s="379"/>
      <c r="C31" s="379"/>
      <c r="D31" s="380"/>
      <c r="E31" s="380"/>
      <c r="F31" s="380"/>
      <c r="G31" s="380"/>
      <c r="H31" s="380"/>
    </row>
  </sheetData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O34"/>
  <sheetViews>
    <sheetView workbookViewId="0">
      <selection activeCell="D8" sqref="D8"/>
    </sheetView>
  </sheetViews>
  <sheetFormatPr baseColWidth="10" defaultRowHeight="15" x14ac:dyDescent="0"/>
  <cols>
    <col min="2" max="2" width="15.5" customWidth="1"/>
    <col min="3" max="3" width="16.6640625" customWidth="1"/>
    <col min="7" max="7" width="13.5" customWidth="1"/>
    <col min="8" max="8" width="16.83203125" customWidth="1"/>
    <col min="13" max="13" width="11.5" bestFit="1" customWidth="1"/>
  </cols>
  <sheetData>
    <row r="1" spans="1:15" ht="16">
      <c r="A1" s="1" t="s">
        <v>0</v>
      </c>
      <c r="B1" s="2"/>
      <c r="C1" s="2"/>
      <c r="D1" s="3"/>
      <c r="E1" s="3"/>
      <c r="F1" s="3"/>
      <c r="G1" s="3"/>
      <c r="H1" s="3"/>
      <c r="I1" s="14"/>
      <c r="J1" s="2"/>
    </row>
    <row r="2" spans="1:15" ht="16">
      <c r="A2" s="1" t="s">
        <v>1</v>
      </c>
      <c r="B2" s="2"/>
      <c r="C2" s="2"/>
      <c r="D2" s="3"/>
      <c r="E2" s="3"/>
      <c r="F2" s="3"/>
      <c r="G2" s="3"/>
      <c r="H2" s="3"/>
      <c r="I2" s="14"/>
      <c r="J2" s="2"/>
    </row>
    <row r="3" spans="1:15" ht="16">
      <c r="A3" s="6" t="s">
        <v>23</v>
      </c>
      <c r="B3" s="7" t="s">
        <v>138</v>
      </c>
      <c r="C3" s="110"/>
      <c r="D3" s="3"/>
      <c r="E3" s="3"/>
      <c r="F3" s="3"/>
      <c r="G3" s="3"/>
      <c r="H3" s="445">
        <v>42655</v>
      </c>
      <c r="I3" s="14"/>
      <c r="J3" s="345"/>
    </row>
    <row r="4" spans="1:15">
      <c r="A4" s="2"/>
      <c r="B4" s="2"/>
      <c r="C4" s="2"/>
      <c r="D4" s="3"/>
      <c r="E4" s="3"/>
      <c r="F4" s="3"/>
      <c r="G4" s="5"/>
      <c r="H4" s="4"/>
      <c r="I4" s="14"/>
      <c r="J4" s="2"/>
    </row>
    <row r="5" spans="1:15">
      <c r="A5" s="48" t="s">
        <v>201</v>
      </c>
      <c r="B5" s="8"/>
      <c r="C5" s="8"/>
      <c r="D5" s="9"/>
      <c r="E5" s="9"/>
      <c r="F5" s="9"/>
      <c r="G5" s="9"/>
      <c r="H5" s="9"/>
      <c r="I5" s="15"/>
      <c r="J5" s="8"/>
    </row>
    <row r="6" spans="1:15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5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5">
      <c r="A8" s="8"/>
      <c r="B8" s="101" t="s">
        <v>5</v>
      </c>
      <c r="C8" s="111"/>
      <c r="D8" s="168">
        <v>114276</v>
      </c>
      <c r="E8" s="169"/>
      <c r="F8" s="169"/>
      <c r="G8" s="284">
        <v>2300</v>
      </c>
      <c r="H8" s="171"/>
      <c r="I8" s="172"/>
      <c r="J8" s="173">
        <f t="shared" ref="J8:J14" si="0">SUM(D8:H8)</f>
        <v>116576</v>
      </c>
      <c r="K8" s="371">
        <f>J8-J24</f>
        <v>42676</v>
      </c>
      <c r="L8" s="542" t="s">
        <v>204</v>
      </c>
      <c r="M8" s="543">
        <f>-('11.AU'!K17)</f>
        <v>45336</v>
      </c>
      <c r="O8" t="s">
        <v>205</v>
      </c>
    </row>
    <row r="9" spans="1:15">
      <c r="A9" s="8"/>
      <c r="B9" s="342" t="s">
        <v>4</v>
      </c>
      <c r="C9" s="112"/>
      <c r="D9" s="174">
        <v>48852</v>
      </c>
      <c r="E9" s="175"/>
      <c r="F9" s="175"/>
      <c r="G9" s="292">
        <v>0</v>
      </c>
      <c r="H9" s="177"/>
      <c r="I9" s="172"/>
      <c r="J9" s="178">
        <f t="shared" si="0"/>
        <v>48852</v>
      </c>
      <c r="K9" s="371">
        <f>J9-J25</f>
        <v>22052</v>
      </c>
      <c r="L9" s="542"/>
      <c r="M9">
        <v>25000</v>
      </c>
    </row>
    <row r="10" spans="1:15">
      <c r="A10" s="8"/>
      <c r="B10" s="646" t="s">
        <v>19</v>
      </c>
      <c r="C10" s="113" t="s">
        <v>12</v>
      </c>
      <c r="D10" s="174">
        <v>34466</v>
      </c>
      <c r="E10" s="175"/>
      <c r="F10" s="175"/>
      <c r="G10" s="292">
        <v>0</v>
      </c>
      <c r="H10" s="177"/>
      <c r="I10" s="172"/>
      <c r="J10" s="178">
        <f t="shared" si="0"/>
        <v>34466</v>
      </c>
      <c r="K10" s="371">
        <f>J10-J26</f>
        <v>16466</v>
      </c>
      <c r="M10">
        <v>10000</v>
      </c>
      <c r="O10" t="s">
        <v>206</v>
      </c>
    </row>
    <row r="11" spans="1:15">
      <c r="A11" s="8"/>
      <c r="B11" s="663"/>
      <c r="C11" s="113" t="s">
        <v>13</v>
      </c>
      <c r="D11" s="174">
        <v>6000</v>
      </c>
      <c r="E11" s="175"/>
      <c r="F11" s="175"/>
      <c r="G11" s="292">
        <v>2700</v>
      </c>
      <c r="H11" s="177"/>
      <c r="I11" s="172"/>
      <c r="J11" s="178">
        <f t="shared" si="0"/>
        <v>8700</v>
      </c>
      <c r="K11" s="371">
        <f>J11-J27</f>
        <v>-6000</v>
      </c>
      <c r="M11" s="560">
        <f>M8+M9+M10</f>
        <v>80336</v>
      </c>
    </row>
    <row r="12" spans="1:15">
      <c r="A12" s="8"/>
      <c r="B12" s="663"/>
      <c r="C12" s="113" t="s">
        <v>14</v>
      </c>
      <c r="D12" s="174"/>
      <c r="E12" s="175"/>
      <c r="F12" s="175"/>
      <c r="G12" s="292">
        <v>0</v>
      </c>
      <c r="H12" s="177"/>
      <c r="I12" s="172"/>
      <c r="J12" s="178">
        <f t="shared" si="0"/>
        <v>0</v>
      </c>
      <c r="K12" s="371">
        <f>J12-J28</f>
        <v>0</v>
      </c>
    </row>
    <row r="13" spans="1:15">
      <c r="A13" s="8"/>
      <c r="B13" s="663"/>
      <c r="C13" s="114" t="s">
        <v>15</v>
      </c>
      <c r="D13" s="179">
        <f>SUM(D10:D12)</f>
        <v>40466</v>
      </c>
      <c r="E13" s="175">
        <f>SUM(E10:E12)</f>
        <v>0</v>
      </c>
      <c r="F13" s="175">
        <f>SUM(F10:F12)</f>
        <v>0</v>
      </c>
      <c r="G13" s="175">
        <f>SUM(G10:G12)</f>
        <v>2700</v>
      </c>
      <c r="H13" s="180">
        <f>SUM(H10:H12)</f>
        <v>0</v>
      </c>
      <c r="I13" s="172"/>
      <c r="J13" s="178">
        <f t="shared" si="0"/>
        <v>43166</v>
      </c>
      <c r="K13" s="2"/>
    </row>
    <row r="14" spans="1:15" ht="31" thickBot="1">
      <c r="A14" s="8"/>
      <c r="B14" s="104" t="s">
        <v>18</v>
      </c>
      <c r="C14" s="344" t="s">
        <v>139</v>
      </c>
      <c r="D14" s="181">
        <f>60%*(D8+D13)</f>
        <v>92845.2</v>
      </c>
      <c r="E14" s="191">
        <f>60%*(E8+E13)</f>
        <v>0</v>
      </c>
      <c r="F14" s="191">
        <f>60%*(F8+F13)</f>
        <v>0</v>
      </c>
      <c r="G14" s="191">
        <f>60%*(G8+G13)</f>
        <v>3000</v>
      </c>
      <c r="H14" s="182">
        <f>60%*(H8+H13)</f>
        <v>0</v>
      </c>
      <c r="I14" s="172"/>
      <c r="J14" s="183">
        <f t="shared" si="0"/>
        <v>95845.2</v>
      </c>
      <c r="K14" s="2"/>
    </row>
    <row r="15" spans="1:15" ht="16" thickBot="1">
      <c r="A15" s="8"/>
      <c r="B15" s="12"/>
      <c r="C15" s="13"/>
      <c r="D15" s="184"/>
      <c r="E15" s="184"/>
      <c r="F15" s="184"/>
      <c r="G15" s="184"/>
      <c r="H15" s="184"/>
      <c r="I15" s="172"/>
      <c r="J15" s="172"/>
      <c r="K15" s="2"/>
    </row>
    <row r="16" spans="1:15">
      <c r="A16" s="8"/>
      <c r="B16" s="106" t="s">
        <v>6</v>
      </c>
      <c r="C16" s="107"/>
      <c r="D16" s="185">
        <f>D8+D9+D13+D14</f>
        <v>296439.2</v>
      </c>
      <c r="E16" s="186">
        <f>E8+E9+E13+E14</f>
        <v>0</v>
      </c>
      <c r="F16" s="186">
        <f>F8+F9+F13+F14</f>
        <v>0</v>
      </c>
      <c r="G16" s="186">
        <f>G8+G9+G13+G14</f>
        <v>8000</v>
      </c>
      <c r="H16" s="187">
        <f>H8+H9+H13+H14</f>
        <v>0</v>
      </c>
      <c r="I16" s="172"/>
      <c r="J16" s="173">
        <f>J8+J9+J13+J14</f>
        <v>304439.2</v>
      </c>
      <c r="K16" s="371">
        <f>J16-J32</f>
        <v>107079.20000000001</v>
      </c>
    </row>
    <row r="17" spans="1:12" ht="31" thickBot="1">
      <c r="A17" s="8"/>
      <c r="B17" s="108" t="s">
        <v>11</v>
      </c>
      <c r="C17" s="109"/>
      <c r="D17" s="188">
        <f>D16*75%</f>
        <v>222329.40000000002</v>
      </c>
      <c r="E17" s="189">
        <f>E16*50%</f>
        <v>0</v>
      </c>
      <c r="F17" s="189">
        <f>F16*100%</f>
        <v>0</v>
      </c>
      <c r="G17" s="189">
        <f>G16*100%</f>
        <v>8000</v>
      </c>
      <c r="H17" s="190">
        <f>H16*100%</f>
        <v>0</v>
      </c>
      <c r="I17" s="172"/>
      <c r="J17" s="183">
        <f>SUM(D17:H17)</f>
        <v>230329.40000000002</v>
      </c>
      <c r="K17" s="371">
        <f>J17-J33</f>
        <v>80309.400000000023</v>
      </c>
      <c r="L17" s="451" t="s">
        <v>182</v>
      </c>
    </row>
    <row r="18" spans="1:12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20" spans="1:12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spans="1:12">
      <c r="A21" s="48"/>
      <c r="B21" s="8"/>
      <c r="C21" s="8"/>
      <c r="D21" s="9"/>
      <c r="E21" s="9"/>
      <c r="F21" s="9"/>
      <c r="G21" s="9"/>
      <c r="H21" s="9"/>
      <c r="I21" s="15"/>
      <c r="J21" s="8"/>
      <c r="K21" s="346"/>
    </row>
    <row r="22" spans="1:12" ht="30">
      <c r="A22" s="8"/>
      <c r="B22" s="8"/>
      <c r="C22" s="8"/>
      <c r="D22" s="10" t="s">
        <v>8</v>
      </c>
      <c r="E22" s="10" t="s">
        <v>2</v>
      </c>
      <c r="F22" s="10" t="s">
        <v>3</v>
      </c>
      <c r="G22" s="10" t="s">
        <v>9</v>
      </c>
      <c r="H22" s="10" t="s">
        <v>10</v>
      </c>
      <c r="I22" s="15"/>
      <c r="J22" s="11" t="s">
        <v>7</v>
      </c>
      <c r="K22" s="346"/>
    </row>
    <row r="23" spans="1:12" ht="16" thickBot="1">
      <c r="A23" s="8"/>
      <c r="B23" s="8"/>
      <c r="C23" s="8"/>
      <c r="D23" s="11"/>
      <c r="E23" s="11"/>
      <c r="F23" s="11"/>
      <c r="G23" s="11"/>
      <c r="H23" s="11"/>
      <c r="I23" s="15"/>
      <c r="J23" s="8"/>
      <c r="K23" s="346"/>
    </row>
    <row r="24" spans="1:12">
      <c r="A24" s="8"/>
      <c r="B24" s="101" t="s">
        <v>5</v>
      </c>
      <c r="C24" s="111"/>
      <c r="D24" s="168">
        <v>71600</v>
      </c>
      <c r="E24" s="169"/>
      <c r="F24" s="169"/>
      <c r="G24" s="284">
        <v>2300</v>
      </c>
      <c r="H24" s="171"/>
      <c r="I24" s="172"/>
      <c r="J24" s="173">
        <f t="shared" ref="J24:J30" si="1">SUM(D24:H24)</f>
        <v>73900</v>
      </c>
      <c r="K24" s="346"/>
    </row>
    <row r="25" spans="1:12">
      <c r="A25" s="8"/>
      <c r="B25" s="482" t="s">
        <v>4</v>
      </c>
      <c r="C25" s="112"/>
      <c r="D25" s="174">
        <v>26800</v>
      </c>
      <c r="E25" s="175"/>
      <c r="F25" s="175"/>
      <c r="G25" s="292">
        <v>0</v>
      </c>
      <c r="H25" s="177"/>
      <c r="I25" s="172"/>
      <c r="J25" s="178">
        <f t="shared" si="1"/>
        <v>26800</v>
      </c>
      <c r="K25" s="346"/>
    </row>
    <row r="26" spans="1:12">
      <c r="A26" s="8"/>
      <c r="B26" s="646" t="s">
        <v>19</v>
      </c>
      <c r="C26" s="113" t="s">
        <v>12</v>
      </c>
      <c r="D26" s="174">
        <v>18000</v>
      </c>
      <c r="E26" s="175"/>
      <c r="F26" s="175"/>
      <c r="G26" s="292">
        <v>0</v>
      </c>
      <c r="H26" s="177"/>
      <c r="I26" s="172"/>
      <c r="J26" s="178">
        <f t="shared" si="1"/>
        <v>18000</v>
      </c>
      <c r="K26" s="346"/>
    </row>
    <row r="27" spans="1:12">
      <c r="A27" s="8"/>
      <c r="B27" s="663"/>
      <c r="C27" s="113" t="s">
        <v>13</v>
      </c>
      <c r="D27" s="174">
        <v>12000</v>
      </c>
      <c r="E27" s="175"/>
      <c r="F27" s="175"/>
      <c r="G27" s="292">
        <v>2700</v>
      </c>
      <c r="H27" s="177"/>
      <c r="I27" s="172"/>
      <c r="J27" s="178">
        <f t="shared" si="1"/>
        <v>14700</v>
      </c>
      <c r="K27" s="346"/>
    </row>
    <row r="28" spans="1:12">
      <c r="A28" s="8"/>
      <c r="B28" s="663"/>
      <c r="C28" s="113" t="s">
        <v>14</v>
      </c>
      <c r="D28" s="174"/>
      <c r="E28" s="175"/>
      <c r="F28" s="175"/>
      <c r="G28" s="292">
        <v>0</v>
      </c>
      <c r="H28" s="177"/>
      <c r="I28" s="172"/>
      <c r="J28" s="178">
        <f t="shared" si="1"/>
        <v>0</v>
      </c>
      <c r="K28" s="346"/>
    </row>
    <row r="29" spans="1:12">
      <c r="A29" s="8"/>
      <c r="B29" s="663"/>
      <c r="C29" s="114" t="s">
        <v>15</v>
      </c>
      <c r="D29" s="179">
        <f>SUM(D26:D28)</f>
        <v>30000</v>
      </c>
      <c r="E29" s="175">
        <f>SUM(E26:E28)</f>
        <v>0</v>
      </c>
      <c r="F29" s="175">
        <f>SUM(F26:F28)</f>
        <v>0</v>
      </c>
      <c r="G29" s="175">
        <f>SUM(G26:G28)</f>
        <v>2700</v>
      </c>
      <c r="H29" s="180">
        <f>SUM(H26:H28)</f>
        <v>0</v>
      </c>
      <c r="I29" s="172"/>
      <c r="J29" s="178">
        <f t="shared" si="1"/>
        <v>32700</v>
      </c>
      <c r="K29" s="346"/>
    </row>
    <row r="30" spans="1:12" ht="31" thickBot="1">
      <c r="A30" s="8"/>
      <c r="B30" s="104" t="s">
        <v>18</v>
      </c>
      <c r="C30" s="344" t="s">
        <v>139</v>
      </c>
      <c r="D30" s="181">
        <f>60%*(D24+D29)</f>
        <v>60960</v>
      </c>
      <c r="E30" s="191">
        <f>60%*(E24+E29)</f>
        <v>0</v>
      </c>
      <c r="F30" s="191">
        <f>60%*(F24+F29)</f>
        <v>0</v>
      </c>
      <c r="G30" s="191">
        <f>60%*(G24+G29)</f>
        <v>3000</v>
      </c>
      <c r="H30" s="182">
        <f>60%*(H24+H29)</f>
        <v>0</v>
      </c>
      <c r="I30" s="172"/>
      <c r="J30" s="183">
        <f t="shared" si="1"/>
        <v>63960</v>
      </c>
      <c r="K30" s="346"/>
    </row>
    <row r="31" spans="1:12" ht="16" thickBot="1">
      <c r="A31" s="8"/>
      <c r="B31" s="12"/>
      <c r="C31" s="13"/>
      <c r="D31" s="184"/>
      <c r="E31" s="184"/>
      <c r="F31" s="184"/>
      <c r="G31" s="184"/>
      <c r="H31" s="184"/>
      <c r="I31" s="172"/>
      <c r="J31" s="172"/>
      <c r="K31" s="346"/>
    </row>
    <row r="32" spans="1:12">
      <c r="A32" s="8"/>
      <c r="B32" s="106" t="s">
        <v>6</v>
      </c>
      <c r="C32" s="107"/>
      <c r="D32" s="185">
        <f>D24+D25+D29+D30</f>
        <v>189360</v>
      </c>
      <c r="E32" s="186">
        <f>E24+E25+E29+E30</f>
        <v>0</v>
      </c>
      <c r="F32" s="186">
        <f>F24+F25+F29+F30</f>
        <v>0</v>
      </c>
      <c r="G32" s="186">
        <f>G24+G25+G29+G30</f>
        <v>8000</v>
      </c>
      <c r="H32" s="187">
        <f>H24+H25+H29+H30</f>
        <v>0</v>
      </c>
      <c r="I32" s="172"/>
      <c r="J32" s="173">
        <f>J24+J25+J29+J30</f>
        <v>197360</v>
      </c>
      <c r="K32" s="346"/>
    </row>
    <row r="33" spans="1:10" ht="31" thickBot="1">
      <c r="A33" s="8"/>
      <c r="B33" s="108" t="s">
        <v>11</v>
      </c>
      <c r="C33" s="109"/>
      <c r="D33" s="188">
        <f>D32*75%</f>
        <v>142020</v>
      </c>
      <c r="E33" s="189">
        <f>E32*50%</f>
        <v>0</v>
      </c>
      <c r="F33" s="189">
        <f>F32*100%</f>
        <v>0</v>
      </c>
      <c r="G33" s="189">
        <f>G32*100%</f>
        <v>8000</v>
      </c>
      <c r="H33" s="190">
        <f>H32*100%</f>
        <v>0</v>
      </c>
      <c r="I33" s="172"/>
      <c r="J33" s="183">
        <f>SUM(D33:H33)</f>
        <v>150020</v>
      </c>
    </row>
    <row r="34" spans="1:10">
      <c r="A34" s="47" t="s">
        <v>20</v>
      </c>
      <c r="B34" s="47"/>
      <c r="C34" s="8"/>
      <c r="D34" s="41"/>
      <c r="E34" s="41"/>
      <c r="F34" s="41"/>
      <c r="G34" s="41"/>
      <c r="H34" s="41"/>
      <c r="I34" s="42"/>
      <c r="J34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L35"/>
  <sheetViews>
    <sheetView workbookViewId="0">
      <selection activeCell="D35" sqref="D35"/>
    </sheetView>
  </sheetViews>
  <sheetFormatPr baseColWidth="10" defaultRowHeight="15" x14ac:dyDescent="0"/>
  <cols>
    <col min="2" max="2" width="15.5" customWidth="1"/>
    <col min="3" max="3" width="16.6640625" customWidth="1"/>
    <col min="7" max="7" width="13.5" customWidth="1"/>
    <col min="8" max="8" width="16.83203125" customWidth="1"/>
  </cols>
  <sheetData>
    <row r="1" spans="1:10" ht="16">
      <c r="A1" s="1" t="s">
        <v>0</v>
      </c>
      <c r="B1" s="2"/>
      <c r="C1" s="2"/>
      <c r="D1" s="3"/>
      <c r="E1" s="3"/>
      <c r="F1" s="3"/>
      <c r="G1" s="3"/>
      <c r="H1" s="3"/>
      <c r="I1" s="14"/>
      <c r="J1" s="2"/>
    </row>
    <row r="2" spans="1:10" ht="16">
      <c r="A2" s="1" t="s">
        <v>1</v>
      </c>
      <c r="B2" s="2"/>
      <c r="C2" s="2"/>
      <c r="D2" s="3"/>
      <c r="E2" s="3"/>
      <c r="F2" s="3"/>
      <c r="G2" s="3"/>
      <c r="H2" s="3"/>
      <c r="I2" s="14"/>
      <c r="J2" s="2"/>
    </row>
    <row r="3" spans="1:10" ht="16">
      <c r="A3" s="6" t="s">
        <v>23</v>
      </c>
      <c r="B3" s="489" t="s">
        <v>194</v>
      </c>
      <c r="C3" s="110"/>
      <c r="D3" s="3"/>
      <c r="E3" s="3"/>
      <c r="F3" s="3"/>
      <c r="G3" s="3"/>
      <c r="H3" s="445">
        <v>42692</v>
      </c>
      <c r="I3" s="14"/>
      <c r="J3" s="345"/>
    </row>
    <row r="4" spans="1:10">
      <c r="A4" s="2"/>
      <c r="B4" s="2"/>
      <c r="C4" s="2"/>
      <c r="D4" s="3"/>
      <c r="E4" s="3"/>
      <c r="F4" s="3"/>
      <c r="G4" s="5"/>
      <c r="H4" s="4"/>
      <c r="I4" s="14"/>
      <c r="J4" s="2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11"/>
      <c r="D8" s="168">
        <v>69050</v>
      </c>
      <c r="E8" s="169"/>
      <c r="F8" s="169"/>
      <c r="G8" s="284">
        <v>1000</v>
      </c>
      <c r="H8" s="171"/>
      <c r="I8" s="172"/>
      <c r="J8" s="173">
        <f t="shared" ref="J8:J14" si="0">SUM(D8:H8)</f>
        <v>70050</v>
      </c>
    </row>
    <row r="9" spans="1:10">
      <c r="A9" s="8"/>
      <c r="B9" s="475" t="s">
        <v>4</v>
      </c>
      <c r="C9" s="112"/>
      <c r="D9" s="174">
        <v>15000</v>
      </c>
      <c r="E9" s="175"/>
      <c r="F9" s="175"/>
      <c r="G9" s="292">
        <v>0</v>
      </c>
      <c r="H9" s="177"/>
      <c r="I9" s="172"/>
      <c r="J9" s="178">
        <f t="shared" si="0"/>
        <v>15000</v>
      </c>
    </row>
    <row r="10" spans="1:10">
      <c r="A10" s="8"/>
      <c r="B10" s="646" t="s">
        <v>19</v>
      </c>
      <c r="C10" s="113" t="s">
        <v>12</v>
      </c>
      <c r="D10" s="174">
        <v>19700</v>
      </c>
      <c r="E10" s="175"/>
      <c r="F10" s="175"/>
      <c r="G10" s="292">
        <v>200</v>
      </c>
      <c r="H10" s="177"/>
      <c r="I10" s="172"/>
      <c r="J10" s="178">
        <f t="shared" si="0"/>
        <v>19900</v>
      </c>
    </row>
    <row r="11" spans="1:10">
      <c r="A11" s="8"/>
      <c r="B11" s="663"/>
      <c r="C11" s="113" t="s">
        <v>13</v>
      </c>
      <c r="D11" s="174">
        <v>5000</v>
      </c>
      <c r="E11" s="175"/>
      <c r="F11" s="175"/>
      <c r="G11" s="292">
        <v>0</v>
      </c>
      <c r="H11" s="177"/>
      <c r="I11" s="172"/>
      <c r="J11" s="178">
        <f t="shared" si="0"/>
        <v>5000</v>
      </c>
    </row>
    <row r="12" spans="1:10">
      <c r="A12" s="8"/>
      <c r="B12" s="663"/>
      <c r="C12" s="113" t="s">
        <v>14</v>
      </c>
      <c r="D12" s="174">
        <f>6*650</f>
        <v>3900</v>
      </c>
      <c r="E12" s="175"/>
      <c r="F12" s="175"/>
      <c r="G12" s="292">
        <v>0</v>
      </c>
      <c r="H12" s="177"/>
      <c r="I12" s="172"/>
      <c r="J12" s="178">
        <f t="shared" si="0"/>
        <v>3900</v>
      </c>
    </row>
    <row r="13" spans="1:10">
      <c r="A13" s="8"/>
      <c r="B13" s="663"/>
      <c r="C13" s="114" t="s">
        <v>15</v>
      </c>
      <c r="D13" s="179">
        <f>SUM(D10:D12)</f>
        <v>28600</v>
      </c>
      <c r="E13" s="175">
        <f>SUM(E10:E12)</f>
        <v>0</v>
      </c>
      <c r="F13" s="175">
        <f>SUM(F10:F12)</f>
        <v>0</v>
      </c>
      <c r="G13" s="175">
        <f>SUM(G10:G12)</f>
        <v>200</v>
      </c>
      <c r="H13" s="180">
        <f>SUM(H10:H12)</f>
        <v>0</v>
      </c>
      <c r="I13" s="172"/>
      <c r="J13" s="178">
        <f t="shared" si="0"/>
        <v>28800</v>
      </c>
    </row>
    <row r="14" spans="1:10" ht="31" thickBot="1">
      <c r="A14" s="8"/>
      <c r="B14" s="104" t="s">
        <v>18</v>
      </c>
      <c r="C14" s="480">
        <v>0.6</v>
      </c>
      <c r="D14" s="181">
        <f>60%*(D8+D13)</f>
        <v>58590</v>
      </c>
      <c r="E14" s="191">
        <f>60%*(E8+E13)</f>
        <v>0</v>
      </c>
      <c r="F14" s="191">
        <f>60%*(F8+F13)</f>
        <v>0</v>
      </c>
      <c r="G14" s="191">
        <f>60%*(G8+G13)</f>
        <v>720</v>
      </c>
      <c r="H14" s="182">
        <f>60%*(H8+H13)</f>
        <v>0</v>
      </c>
      <c r="I14" s="172"/>
      <c r="J14" s="183">
        <f t="shared" si="0"/>
        <v>59310</v>
      </c>
    </row>
    <row r="15" spans="1:10" ht="16" thickBot="1">
      <c r="A15" s="8"/>
      <c r="B15" s="12"/>
      <c r="C15" s="13"/>
      <c r="D15" s="184"/>
      <c r="E15" s="184"/>
      <c r="F15" s="184"/>
      <c r="G15" s="184"/>
      <c r="H15" s="184"/>
      <c r="I15" s="172"/>
      <c r="J15" s="172"/>
    </row>
    <row r="16" spans="1:10">
      <c r="A16" s="8"/>
      <c r="B16" s="106" t="s">
        <v>6</v>
      </c>
      <c r="C16" s="107"/>
      <c r="D16" s="185">
        <f>D8+D9+D13+D14</f>
        <v>171240</v>
      </c>
      <c r="E16" s="186">
        <f>E8+E9+E13+E14</f>
        <v>0</v>
      </c>
      <c r="F16" s="186">
        <f>F8+F9+F13+F14</f>
        <v>0</v>
      </c>
      <c r="G16" s="186">
        <f>G8+G9+G13+G14</f>
        <v>1920</v>
      </c>
      <c r="H16" s="187">
        <f>H8+H9+H13+H14</f>
        <v>0</v>
      </c>
      <c r="I16" s="172"/>
      <c r="J16" s="173">
        <f>J8+J9+J13+J14</f>
        <v>173160</v>
      </c>
    </row>
    <row r="17" spans="1:12" ht="31" thickBot="1">
      <c r="A17" s="8"/>
      <c r="B17" s="108" t="s">
        <v>11</v>
      </c>
      <c r="C17" s="109"/>
      <c r="D17" s="188">
        <f>D16*75%</f>
        <v>128430</v>
      </c>
      <c r="E17" s="189">
        <f>E16*50%</f>
        <v>0</v>
      </c>
      <c r="F17" s="189">
        <f>F16*100%</f>
        <v>0</v>
      </c>
      <c r="G17" s="189">
        <f>G16*100%</f>
        <v>1920</v>
      </c>
      <c r="H17" s="190">
        <f>H16*100%</f>
        <v>0</v>
      </c>
      <c r="I17" s="172"/>
      <c r="J17" s="183">
        <f>SUM(D17:H17)</f>
        <v>130350</v>
      </c>
      <c r="L17">
        <v>130350</v>
      </c>
    </row>
    <row r="18" spans="1:12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20" spans="1:12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spans="1:1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1:12">
      <c r="A22" s="597"/>
      <c r="B22" s="195"/>
      <c r="C22" s="195"/>
      <c r="D22" s="382"/>
      <c r="E22" s="382"/>
      <c r="F22" s="382"/>
      <c r="G22" s="382"/>
      <c r="H22" s="382"/>
      <c r="I22" s="598"/>
      <c r="J22" s="195"/>
      <c r="K22" s="346"/>
    </row>
    <row r="23" spans="1:12" ht="30">
      <c r="A23" s="195"/>
      <c r="B23" s="195"/>
      <c r="C23" s="195"/>
      <c r="D23" s="599" t="s">
        <v>8</v>
      </c>
      <c r="E23" s="599" t="s">
        <v>2</v>
      </c>
      <c r="F23" s="599" t="s">
        <v>3</v>
      </c>
      <c r="G23" s="599" t="s">
        <v>9</v>
      </c>
      <c r="H23" s="599" t="s">
        <v>10</v>
      </c>
      <c r="I23" s="598"/>
      <c r="J23" s="323" t="s">
        <v>7</v>
      </c>
      <c r="K23" s="346"/>
    </row>
    <row r="24" spans="1:12" ht="16" thickBot="1">
      <c r="A24" s="195"/>
      <c r="B24" s="195"/>
      <c r="C24" s="195"/>
      <c r="D24" s="323"/>
      <c r="E24" s="323"/>
      <c r="F24" s="323"/>
      <c r="G24" s="323"/>
      <c r="H24" s="323"/>
      <c r="I24" s="598"/>
      <c r="J24" s="195"/>
      <c r="K24" s="346"/>
    </row>
    <row r="25" spans="1:12">
      <c r="A25" s="195"/>
      <c r="B25" s="600" t="s">
        <v>5</v>
      </c>
      <c r="C25" s="601"/>
      <c r="D25" s="602">
        <v>69050</v>
      </c>
      <c r="E25" s="603"/>
      <c r="F25" s="603"/>
      <c r="G25" s="604">
        <v>1000</v>
      </c>
      <c r="H25" s="605"/>
      <c r="I25" s="606"/>
      <c r="J25" s="607">
        <f t="shared" ref="J25:J31" si="1">SUM(D25:H25)</f>
        <v>70050</v>
      </c>
      <c r="K25" s="346"/>
    </row>
    <row r="26" spans="1:12">
      <c r="A26" s="195"/>
      <c r="B26" s="608" t="s">
        <v>4</v>
      </c>
      <c r="C26" s="609"/>
      <c r="D26" s="610">
        <v>15000</v>
      </c>
      <c r="E26" s="611"/>
      <c r="F26" s="611"/>
      <c r="G26" s="612">
        <v>0</v>
      </c>
      <c r="H26" s="613"/>
      <c r="I26" s="606"/>
      <c r="J26" s="614">
        <f t="shared" si="1"/>
        <v>15000</v>
      </c>
      <c r="K26" s="346"/>
    </row>
    <row r="27" spans="1:12">
      <c r="A27" s="195"/>
      <c r="B27" s="664" t="s">
        <v>19</v>
      </c>
      <c r="C27" s="615" t="s">
        <v>12</v>
      </c>
      <c r="D27" s="610">
        <v>19700</v>
      </c>
      <c r="E27" s="611"/>
      <c r="F27" s="611"/>
      <c r="G27" s="612">
        <v>200</v>
      </c>
      <c r="H27" s="613"/>
      <c r="I27" s="606"/>
      <c r="J27" s="614">
        <f t="shared" si="1"/>
        <v>19900</v>
      </c>
      <c r="K27" s="346"/>
    </row>
    <row r="28" spans="1:12">
      <c r="A28" s="195"/>
      <c r="B28" s="665"/>
      <c r="C28" s="615" t="s">
        <v>13</v>
      </c>
      <c r="D28" s="610">
        <v>5000</v>
      </c>
      <c r="E28" s="611"/>
      <c r="F28" s="611"/>
      <c r="G28" s="612">
        <v>0</v>
      </c>
      <c r="H28" s="613"/>
      <c r="I28" s="606"/>
      <c r="J28" s="614">
        <f t="shared" si="1"/>
        <v>5000</v>
      </c>
      <c r="K28" s="346"/>
    </row>
    <row r="29" spans="1:12">
      <c r="A29" s="195"/>
      <c r="B29" s="665"/>
      <c r="C29" s="615" t="s">
        <v>14</v>
      </c>
      <c r="D29" s="610">
        <f>6*650</f>
        <v>3900</v>
      </c>
      <c r="E29" s="611"/>
      <c r="F29" s="611"/>
      <c r="G29" s="612">
        <v>0</v>
      </c>
      <c r="H29" s="613"/>
      <c r="I29" s="606"/>
      <c r="J29" s="614">
        <f t="shared" si="1"/>
        <v>3900</v>
      </c>
      <c r="K29" s="346"/>
    </row>
    <row r="30" spans="1:12">
      <c r="A30" s="195"/>
      <c r="B30" s="665"/>
      <c r="C30" s="616" t="s">
        <v>15</v>
      </c>
      <c r="D30" s="617">
        <f>SUM(D27:D29)</f>
        <v>28600</v>
      </c>
      <c r="E30" s="611">
        <f>SUM(E27:E29)</f>
        <v>0</v>
      </c>
      <c r="F30" s="611">
        <f>SUM(F27:F29)</f>
        <v>0</v>
      </c>
      <c r="G30" s="611">
        <f>SUM(G27:G29)</f>
        <v>200</v>
      </c>
      <c r="H30" s="618">
        <f>SUM(H27:H29)</f>
        <v>0</v>
      </c>
      <c r="I30" s="606"/>
      <c r="J30" s="614">
        <f t="shared" si="1"/>
        <v>28800</v>
      </c>
      <c r="K30" s="346"/>
    </row>
    <row r="31" spans="1:12" ht="31" thickBot="1">
      <c r="A31" s="195"/>
      <c r="B31" s="619" t="s">
        <v>18</v>
      </c>
      <c r="C31" s="620">
        <v>0.2</v>
      </c>
      <c r="D31" s="621">
        <f>20%*(D25+D30)</f>
        <v>19530</v>
      </c>
      <c r="E31" s="622">
        <f>60%*(E25+E30)</f>
        <v>0</v>
      </c>
      <c r="F31" s="622">
        <f>60%*(F25+F30)</f>
        <v>0</v>
      </c>
      <c r="G31" s="622">
        <f>20%*(G25+G30)</f>
        <v>240</v>
      </c>
      <c r="H31" s="623">
        <f>60%*(H25+H30)</f>
        <v>0</v>
      </c>
      <c r="I31" s="606"/>
      <c r="J31" s="624">
        <f t="shared" si="1"/>
        <v>19770</v>
      </c>
      <c r="K31" s="346"/>
    </row>
    <row r="32" spans="1:12" ht="16" thickBot="1">
      <c r="A32" s="195"/>
      <c r="B32" s="625"/>
      <c r="C32" s="626"/>
      <c r="D32" s="627"/>
      <c r="E32" s="627"/>
      <c r="F32" s="627"/>
      <c r="G32" s="627"/>
      <c r="H32" s="627"/>
      <c r="I32" s="606"/>
      <c r="J32" s="606"/>
      <c r="K32" s="346"/>
    </row>
    <row r="33" spans="1:10">
      <c r="A33" s="195"/>
      <c r="B33" s="628" t="s">
        <v>6</v>
      </c>
      <c r="C33" s="629"/>
      <c r="D33" s="630">
        <f>D25+D26+D30+D31</f>
        <v>132180</v>
      </c>
      <c r="E33" s="631">
        <f>E25+E26+E30+E31</f>
        <v>0</v>
      </c>
      <c r="F33" s="631">
        <f>F25+F26+F30+F31</f>
        <v>0</v>
      </c>
      <c r="G33" s="631">
        <f>G25+G26+G30+G31</f>
        <v>1440</v>
      </c>
      <c r="H33" s="632">
        <f>H25+H26+H30+H31</f>
        <v>0</v>
      </c>
      <c r="I33" s="606"/>
      <c r="J33" s="607">
        <f>J25+J26+J30+J31</f>
        <v>133620</v>
      </c>
    </row>
    <row r="34" spans="1:10" ht="31" thickBot="1">
      <c r="A34" s="195"/>
      <c r="B34" s="633" t="s">
        <v>11</v>
      </c>
      <c r="C34" s="634"/>
      <c r="D34" s="635">
        <f>D33*50%</f>
        <v>66090</v>
      </c>
      <c r="E34" s="636">
        <f>E33*50%</f>
        <v>0</v>
      </c>
      <c r="F34" s="636">
        <f>F33*100%</f>
        <v>0</v>
      </c>
      <c r="G34" s="636">
        <f>G33*100%</f>
        <v>1440</v>
      </c>
      <c r="H34" s="637">
        <f>H33*100%</f>
        <v>0</v>
      </c>
      <c r="I34" s="606"/>
      <c r="J34" s="624">
        <f>SUM(D34:H34)</f>
        <v>67530</v>
      </c>
    </row>
    <row r="35" spans="1:10">
      <c r="A35" s="638" t="s">
        <v>20</v>
      </c>
      <c r="B35" s="638"/>
      <c r="C35" s="195"/>
      <c r="D35" s="639"/>
      <c r="E35" s="639"/>
      <c r="F35" s="639"/>
      <c r="G35" s="639"/>
      <c r="H35" s="639"/>
      <c r="I35" s="640"/>
      <c r="J35" s="641"/>
    </row>
  </sheetData>
  <mergeCells count="2">
    <mergeCell ref="B10:B13"/>
    <mergeCell ref="B27:B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L32"/>
  <sheetViews>
    <sheetView workbookViewId="0">
      <selection activeCell="E31" sqref="E31"/>
    </sheetView>
  </sheetViews>
  <sheetFormatPr baseColWidth="10" defaultRowHeight="15" x14ac:dyDescent="0"/>
  <cols>
    <col min="2" max="2" width="15.5" customWidth="1"/>
    <col min="3" max="3" width="16.6640625" customWidth="1"/>
    <col min="7" max="7" width="13.5" customWidth="1"/>
    <col min="8" max="8" width="16.83203125" customWidth="1"/>
  </cols>
  <sheetData>
    <row r="1" spans="1:10" ht="16">
      <c r="A1" s="1" t="s">
        <v>0</v>
      </c>
      <c r="B1" s="2"/>
      <c r="C1" s="2"/>
      <c r="D1" s="3"/>
      <c r="E1" s="3"/>
      <c r="F1" s="3"/>
      <c r="G1" s="3"/>
      <c r="H1" s="3"/>
      <c r="I1" s="14"/>
      <c r="J1" s="2"/>
    </row>
    <row r="2" spans="1:10" ht="16">
      <c r="A2" s="1" t="s">
        <v>1</v>
      </c>
      <c r="B2" s="2"/>
      <c r="C2" s="2"/>
      <c r="D2" s="3"/>
      <c r="E2" s="3"/>
      <c r="F2" s="3"/>
      <c r="G2" s="3"/>
      <c r="H2" s="3"/>
      <c r="I2" s="14"/>
      <c r="J2" s="2"/>
    </row>
    <row r="3" spans="1:10" ht="16">
      <c r="A3" s="6" t="s">
        <v>23</v>
      </c>
      <c r="B3" s="488" t="s">
        <v>193</v>
      </c>
      <c r="C3" s="110"/>
      <c r="D3" s="3"/>
      <c r="E3" s="3"/>
      <c r="F3" s="3"/>
      <c r="G3" s="3"/>
      <c r="H3" s="445">
        <v>42687</v>
      </c>
      <c r="I3" s="14"/>
      <c r="J3" s="345"/>
    </row>
    <row r="4" spans="1:10">
      <c r="A4" s="2"/>
      <c r="B4" s="2"/>
      <c r="C4" s="2"/>
      <c r="D4" s="3"/>
      <c r="E4" s="3"/>
      <c r="F4" s="3"/>
      <c r="G4" s="5"/>
      <c r="H4" s="4"/>
      <c r="I4" s="14"/>
      <c r="J4" s="2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11"/>
      <c r="D8" s="168">
        <v>25000</v>
      </c>
      <c r="E8" s="169"/>
      <c r="F8" s="169"/>
      <c r="G8" s="284">
        <v>1400</v>
      </c>
      <c r="H8" s="171"/>
      <c r="I8" s="172"/>
      <c r="J8" s="173">
        <f t="shared" ref="J8:J14" si="0">SUM(D8:H8)</f>
        <v>26400</v>
      </c>
    </row>
    <row r="9" spans="1:10">
      <c r="A9" s="8"/>
      <c r="B9" s="476" t="s">
        <v>4</v>
      </c>
      <c r="C9" s="112"/>
      <c r="D9" s="174"/>
      <c r="E9" s="175"/>
      <c r="F9" s="175"/>
      <c r="G9" s="292">
        <v>0</v>
      </c>
      <c r="H9" s="177"/>
      <c r="I9" s="172"/>
      <c r="J9" s="178">
        <f t="shared" si="0"/>
        <v>0</v>
      </c>
    </row>
    <row r="10" spans="1:10">
      <c r="A10" s="8"/>
      <c r="B10" s="646" t="s">
        <v>19</v>
      </c>
      <c r="C10" s="113" t="s">
        <v>12</v>
      </c>
      <c r="D10" s="174">
        <v>6200</v>
      </c>
      <c r="E10" s="175"/>
      <c r="F10" s="175"/>
      <c r="G10" s="292">
        <v>200</v>
      </c>
      <c r="H10" s="177"/>
      <c r="I10" s="172"/>
      <c r="J10" s="178">
        <f t="shared" si="0"/>
        <v>6400</v>
      </c>
    </row>
    <row r="11" spans="1:10">
      <c r="A11" s="8"/>
      <c r="B11" s="663"/>
      <c r="C11" s="113" t="s">
        <v>13</v>
      </c>
      <c r="D11" s="174">
        <v>4000</v>
      </c>
      <c r="E11" s="175"/>
      <c r="F11" s="175"/>
      <c r="G11" s="292">
        <v>0</v>
      </c>
      <c r="H11" s="177"/>
      <c r="I11" s="172"/>
      <c r="J11" s="178">
        <f t="shared" si="0"/>
        <v>4000</v>
      </c>
    </row>
    <row r="12" spans="1:10">
      <c r="A12" s="8"/>
      <c r="B12" s="663"/>
      <c r="C12" s="113" t="s">
        <v>14</v>
      </c>
      <c r="D12" s="174"/>
      <c r="E12" s="175"/>
      <c r="F12" s="175"/>
      <c r="G12" s="292">
        <v>0</v>
      </c>
      <c r="H12" s="177"/>
      <c r="I12" s="172"/>
      <c r="J12" s="178">
        <f t="shared" si="0"/>
        <v>0</v>
      </c>
    </row>
    <row r="13" spans="1:10">
      <c r="A13" s="8"/>
      <c r="B13" s="663"/>
      <c r="C13" s="114" t="s">
        <v>15</v>
      </c>
      <c r="D13" s="179">
        <f>SUM(D10:D12)</f>
        <v>10200</v>
      </c>
      <c r="E13" s="175">
        <f>SUM(E10:E12)</f>
        <v>0</v>
      </c>
      <c r="F13" s="175">
        <f>SUM(F10:F12)</f>
        <v>0</v>
      </c>
      <c r="G13" s="175">
        <f>SUM(G10:G12)</f>
        <v>200</v>
      </c>
      <c r="H13" s="180">
        <f>SUM(H10:H12)</f>
        <v>0</v>
      </c>
      <c r="I13" s="172"/>
      <c r="J13" s="178">
        <f t="shared" si="0"/>
        <v>10400</v>
      </c>
    </row>
    <row r="14" spans="1:10" ht="31" thickBot="1">
      <c r="A14" s="8"/>
      <c r="B14" s="104" t="s">
        <v>18</v>
      </c>
      <c r="C14" s="480">
        <v>0.2</v>
      </c>
      <c r="D14" s="181">
        <f>20%*(D8+D13)</f>
        <v>7040</v>
      </c>
      <c r="E14" s="191">
        <f>60%*(E8+E13)</f>
        <v>0</v>
      </c>
      <c r="F14" s="191">
        <f>60%*(F8+F13)</f>
        <v>0</v>
      </c>
      <c r="G14" s="191">
        <f>20%*(G8+G13)</f>
        <v>320</v>
      </c>
      <c r="H14" s="182">
        <f>60%*(H8+H13)</f>
        <v>0</v>
      </c>
      <c r="I14" s="172"/>
      <c r="J14" s="183">
        <f t="shared" si="0"/>
        <v>7360</v>
      </c>
    </row>
    <row r="15" spans="1:10" ht="16" thickBot="1">
      <c r="A15" s="8"/>
      <c r="B15" s="12"/>
      <c r="C15" s="13"/>
      <c r="D15" s="184"/>
      <c r="E15" s="184"/>
      <c r="F15" s="184"/>
      <c r="G15" s="184"/>
      <c r="H15" s="184"/>
      <c r="I15" s="172"/>
      <c r="J15" s="172"/>
    </row>
    <row r="16" spans="1:10">
      <c r="A16" s="8"/>
      <c r="B16" s="106" t="s">
        <v>6</v>
      </c>
      <c r="C16" s="107"/>
      <c r="D16" s="185">
        <f>D8+D9+D13+D14</f>
        <v>42240</v>
      </c>
      <c r="E16" s="186">
        <f>E8+E9+E13+E14</f>
        <v>0</v>
      </c>
      <c r="F16" s="186">
        <f>F8+F9+F13+F14</f>
        <v>0</v>
      </c>
      <c r="G16" s="186">
        <f>G8+G9+G13+G14</f>
        <v>1920</v>
      </c>
      <c r="H16" s="187">
        <f>H8+H9+H13+H14</f>
        <v>0</v>
      </c>
      <c r="I16" s="172"/>
      <c r="J16" s="173">
        <f>J8+J9+J13+J14</f>
        <v>44160</v>
      </c>
    </row>
    <row r="17" spans="1:12" ht="31" thickBot="1">
      <c r="A17" s="8"/>
      <c r="B17" s="108" t="s">
        <v>11</v>
      </c>
      <c r="C17" s="109"/>
      <c r="D17" s="188">
        <f>D16*75%</f>
        <v>31680</v>
      </c>
      <c r="E17" s="189">
        <f>E16*50%</f>
        <v>0</v>
      </c>
      <c r="F17" s="189">
        <f>F16*100%</f>
        <v>0</v>
      </c>
      <c r="G17" s="189">
        <f>G16*100%</f>
        <v>1920</v>
      </c>
      <c r="H17" s="190">
        <f>H16*100%</f>
        <v>0</v>
      </c>
      <c r="I17" s="172"/>
      <c r="J17" s="183">
        <f>SUM(D17:H17)</f>
        <v>33600</v>
      </c>
      <c r="L17" s="183">
        <v>33600</v>
      </c>
    </row>
    <row r="18" spans="1:12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20" spans="1:12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spans="1:1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1:12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</row>
    <row r="23" spans="1:12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</row>
    <row r="24" spans="1:12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</row>
    <row r="25" spans="1:12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</row>
    <row r="26" spans="1:12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</row>
    <row r="27" spans="1:12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</row>
    <row r="28" spans="1:12">
      <c r="A28" s="346"/>
      <c r="B28" s="346"/>
      <c r="C28" s="346"/>
      <c r="D28" s="346"/>
      <c r="E28" s="346"/>
      <c r="F28" s="346"/>
      <c r="G28" s="346"/>
      <c r="H28" s="346"/>
      <c r="I28" s="346"/>
      <c r="J28" s="346"/>
      <c r="K28" s="346"/>
    </row>
    <row r="29" spans="1:12">
      <c r="A29" s="346"/>
      <c r="B29" s="346"/>
      <c r="C29" s="346"/>
      <c r="D29" s="346"/>
      <c r="E29" s="346"/>
      <c r="F29" s="346"/>
      <c r="G29" s="346"/>
      <c r="H29" s="346"/>
      <c r="I29" s="346"/>
      <c r="J29" s="346"/>
      <c r="K29" s="346"/>
    </row>
    <row r="30" spans="1:12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</row>
    <row r="31" spans="1:12">
      <c r="A31" s="346"/>
      <c r="B31" s="346"/>
      <c r="C31" s="346"/>
      <c r="D31" s="346"/>
      <c r="E31" s="346"/>
      <c r="F31" s="346"/>
      <c r="G31" s="346"/>
      <c r="H31" s="346"/>
      <c r="I31" s="346"/>
      <c r="J31" s="346"/>
      <c r="K31" s="346"/>
    </row>
    <row r="32" spans="1:12">
      <c r="A32" s="346"/>
      <c r="B32" s="346"/>
      <c r="C32" s="346"/>
      <c r="D32" s="346"/>
      <c r="E32" s="346"/>
      <c r="F32" s="346"/>
      <c r="G32" s="346"/>
      <c r="H32" s="346"/>
      <c r="I32" s="346"/>
      <c r="J32" s="346"/>
      <c r="K32" s="346"/>
    </row>
  </sheetData>
  <mergeCells count="1">
    <mergeCell ref="B10:B13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L53"/>
  <sheetViews>
    <sheetView topLeftCell="A2" workbookViewId="0">
      <selection activeCell="K10" sqref="K10:K17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13.3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2" ht="16">
      <c r="A1" s="1" t="s">
        <v>0</v>
      </c>
    </row>
    <row r="2" spans="1:12" ht="16">
      <c r="A2" s="1" t="s">
        <v>1</v>
      </c>
    </row>
    <row r="3" spans="1:12" ht="16">
      <c r="A3" s="6" t="s">
        <v>23</v>
      </c>
      <c r="B3" s="7" t="s">
        <v>25</v>
      </c>
      <c r="C3" s="110"/>
      <c r="G3" s="167"/>
      <c r="H3" s="445">
        <v>42289</v>
      </c>
    </row>
    <row r="4" spans="1:12">
      <c r="G4" s="5"/>
      <c r="H4" s="4"/>
    </row>
    <row r="5" spans="1:12">
      <c r="A5" s="48" t="s">
        <v>186</v>
      </c>
      <c r="B5" s="8"/>
      <c r="C5" s="8"/>
      <c r="D5" s="9"/>
      <c r="E5" s="9"/>
      <c r="F5" s="9"/>
      <c r="G5" s="9"/>
      <c r="H5" s="9"/>
      <c r="I5" s="15"/>
      <c r="J5" s="8"/>
    </row>
    <row r="6" spans="1:12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2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2">
      <c r="A8" s="8"/>
      <c r="B8" s="101" t="s">
        <v>5</v>
      </c>
      <c r="C8" s="102"/>
      <c r="D8" s="16">
        <v>392673</v>
      </c>
      <c r="E8" s="17"/>
      <c r="F8" s="17"/>
      <c r="G8" s="18">
        <v>6239</v>
      </c>
      <c r="H8" s="19">
        <v>5529</v>
      </c>
      <c r="I8" s="20"/>
      <c r="J8" s="21">
        <f t="shared" ref="J8:J14" si="0">SUM(D8:H8)</f>
        <v>404441</v>
      </c>
    </row>
    <row r="9" spans="1:12">
      <c r="A9" s="8"/>
      <c r="B9" s="393" t="s">
        <v>4</v>
      </c>
      <c r="C9" s="86"/>
      <c r="D9" s="22"/>
      <c r="E9" s="23"/>
      <c r="F9" s="23"/>
      <c r="G9" s="24">
        <v>2000</v>
      </c>
      <c r="H9" s="25"/>
      <c r="I9" s="20"/>
      <c r="J9" s="26">
        <f t="shared" si="0"/>
        <v>2000</v>
      </c>
    </row>
    <row r="10" spans="1:12" ht="15" customHeight="1">
      <c r="A10" s="8"/>
      <c r="B10" s="393" t="s">
        <v>19</v>
      </c>
      <c r="C10" s="87" t="s">
        <v>12</v>
      </c>
      <c r="D10" s="22">
        <v>332821</v>
      </c>
      <c r="E10" s="23"/>
      <c r="F10" s="23"/>
      <c r="G10" s="24">
        <v>4500</v>
      </c>
      <c r="H10" s="25">
        <v>4500</v>
      </c>
      <c r="I10" s="20"/>
      <c r="J10" s="26">
        <f t="shared" si="0"/>
        <v>341821</v>
      </c>
      <c r="K10" s="446">
        <f>D10-D24</f>
        <v>-200</v>
      </c>
    </row>
    <row r="11" spans="1:12">
      <c r="A11" s="8"/>
      <c r="B11" s="394"/>
      <c r="C11" s="87" t="s">
        <v>13</v>
      </c>
      <c r="D11" s="22">
        <v>25000</v>
      </c>
      <c r="E11" s="23"/>
      <c r="F11" s="23"/>
      <c r="G11" s="24">
        <v>9600</v>
      </c>
      <c r="H11" s="25">
        <v>11000</v>
      </c>
      <c r="I11" s="20"/>
      <c r="J11" s="26">
        <f t="shared" si="0"/>
        <v>45600</v>
      </c>
      <c r="K11" s="446">
        <f>D11-D25</f>
        <v>-6500</v>
      </c>
      <c r="L11" t="s">
        <v>192</v>
      </c>
    </row>
    <row r="12" spans="1:12">
      <c r="A12" s="8"/>
      <c r="B12" s="394"/>
      <c r="C12" s="87" t="s">
        <v>14</v>
      </c>
      <c r="D12" s="22">
        <v>10003</v>
      </c>
      <c r="E12" s="23"/>
      <c r="F12" s="23"/>
      <c r="G12" s="24"/>
      <c r="H12" s="25"/>
      <c r="I12" s="20"/>
      <c r="J12" s="26">
        <f t="shared" si="0"/>
        <v>10003</v>
      </c>
      <c r="K12" s="446">
        <f>D12-D26</f>
        <v>6700</v>
      </c>
      <c r="L12" t="s">
        <v>191</v>
      </c>
    </row>
    <row r="13" spans="1:12">
      <c r="A13" s="8"/>
      <c r="B13" s="394"/>
      <c r="C13" s="88" t="s">
        <v>15</v>
      </c>
      <c r="D13" s="27">
        <f>SUM(D10:D12)</f>
        <v>367824</v>
      </c>
      <c r="E13" s="23">
        <f>SUM(E10:E12)</f>
        <v>0</v>
      </c>
      <c r="F13" s="23">
        <f>SUM(F10:F12)</f>
        <v>0</v>
      </c>
      <c r="G13" s="23">
        <f>SUM(G10:G12)</f>
        <v>14100</v>
      </c>
      <c r="H13" s="28">
        <f>SUM(H10:H12)</f>
        <v>15500</v>
      </c>
      <c r="I13" s="20"/>
      <c r="J13" s="26">
        <f t="shared" si="0"/>
        <v>397424</v>
      </c>
    </row>
    <row r="14" spans="1:12" ht="31" thickBot="1">
      <c r="A14" s="8"/>
      <c r="B14" s="104" t="s">
        <v>18</v>
      </c>
      <c r="C14" s="105" t="s">
        <v>124</v>
      </c>
      <c r="D14" s="29">
        <v>182444</v>
      </c>
      <c r="E14" s="30"/>
      <c r="F14" s="30"/>
      <c r="G14" s="31">
        <v>4896</v>
      </c>
      <c r="H14" s="32">
        <v>5182</v>
      </c>
      <c r="I14" s="20"/>
      <c r="J14" s="33">
        <f t="shared" si="0"/>
        <v>192522</v>
      </c>
    </row>
    <row r="15" spans="1:12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2">
      <c r="A16" s="8"/>
      <c r="B16" s="106" t="s">
        <v>6</v>
      </c>
      <c r="C16" s="107"/>
      <c r="D16" s="35">
        <f>D8+D9+D13+D14</f>
        <v>942941</v>
      </c>
      <c r="E16" s="36">
        <f>E8+E9+E13+E14</f>
        <v>0</v>
      </c>
      <c r="F16" s="36">
        <f>F8+F9+F13+F14</f>
        <v>0</v>
      </c>
      <c r="G16" s="36">
        <f>G8+G9+G13+G14</f>
        <v>27235</v>
      </c>
      <c r="H16" s="37">
        <f>H8+H9+H13+H14</f>
        <v>26211</v>
      </c>
      <c r="I16" s="20"/>
      <c r="J16" s="21">
        <f>J8+J9+J13+J14</f>
        <v>996387</v>
      </c>
      <c r="K16" s="446">
        <f>D16-D30</f>
        <v>0</v>
      </c>
    </row>
    <row r="17" spans="1:11" ht="31" thickBot="1">
      <c r="A17" s="8"/>
      <c r="B17" s="108" t="s">
        <v>11</v>
      </c>
      <c r="C17" s="109"/>
      <c r="D17" s="38">
        <f>D16*75%</f>
        <v>707205.75</v>
      </c>
      <c r="E17" s="39">
        <f>E16*50%</f>
        <v>0</v>
      </c>
      <c r="F17" s="39">
        <f>F16*100%</f>
        <v>0</v>
      </c>
      <c r="G17" s="39">
        <f>G16*100%</f>
        <v>27235</v>
      </c>
      <c r="H17" s="40">
        <f>H16*100%</f>
        <v>26211</v>
      </c>
      <c r="I17" s="20"/>
      <c r="J17" s="33">
        <f>SUM(D17:H17)</f>
        <v>760651.75</v>
      </c>
      <c r="K17" s="446">
        <f>D17-D31</f>
        <v>0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G19" s="44"/>
      <c r="H19" s="44"/>
      <c r="I19" s="45"/>
      <c r="J19" s="46"/>
    </row>
    <row r="20" spans="1:11">
      <c r="D20" s="44"/>
      <c r="E20" s="396"/>
      <c r="F20" s="44"/>
      <c r="G20" s="44"/>
      <c r="H20" s="44"/>
      <c r="I20" s="45"/>
      <c r="J20" s="46"/>
    </row>
    <row r="21" spans="1:11" ht="16" thickBot="1">
      <c r="A21" s="48" t="s">
        <v>180</v>
      </c>
      <c r="B21" s="8"/>
      <c r="C21" s="8"/>
      <c r="D21" s="11"/>
      <c r="E21" s="11"/>
      <c r="F21" s="11"/>
      <c r="G21" s="11"/>
      <c r="H21" s="11"/>
      <c r="I21" s="15"/>
      <c r="J21" s="8"/>
    </row>
    <row r="22" spans="1:11">
      <c r="A22" s="8"/>
      <c r="B22" s="101" t="s">
        <v>5</v>
      </c>
      <c r="C22" s="102"/>
      <c r="D22" s="16">
        <v>392673</v>
      </c>
      <c r="E22" s="17"/>
      <c r="F22" s="17"/>
      <c r="G22" s="18">
        <v>6239</v>
      </c>
      <c r="H22" s="19">
        <v>5529</v>
      </c>
      <c r="I22" s="20"/>
      <c r="J22" s="21">
        <v>404441</v>
      </c>
    </row>
    <row r="23" spans="1:11">
      <c r="A23" s="8"/>
      <c r="B23" s="473" t="s">
        <v>4</v>
      </c>
      <c r="C23" s="86"/>
      <c r="D23" s="22"/>
      <c r="E23" s="23"/>
      <c r="F23" s="23"/>
      <c r="G23" s="24">
        <v>2000</v>
      </c>
      <c r="H23" s="25"/>
      <c r="I23" s="20"/>
      <c r="J23" s="26">
        <v>2000</v>
      </c>
    </row>
    <row r="24" spans="1:11" ht="30">
      <c r="A24" s="8"/>
      <c r="B24" s="473" t="s">
        <v>19</v>
      </c>
      <c r="C24" s="87" t="s">
        <v>12</v>
      </c>
      <c r="D24" s="22">
        <v>333021</v>
      </c>
      <c r="E24" s="23"/>
      <c r="F24" s="23"/>
      <c r="G24" s="24">
        <v>4500</v>
      </c>
      <c r="H24" s="25">
        <v>4500</v>
      </c>
      <c r="I24" s="20"/>
      <c r="J24" s="26">
        <v>342021</v>
      </c>
    </row>
    <row r="25" spans="1:11">
      <c r="A25" s="8"/>
      <c r="B25" s="474"/>
      <c r="C25" s="87" t="s">
        <v>13</v>
      </c>
      <c r="D25" s="22">
        <v>31500</v>
      </c>
      <c r="E25" s="23"/>
      <c r="F25" s="23"/>
      <c r="G25" s="24">
        <v>9600</v>
      </c>
      <c r="H25" s="25">
        <v>11000</v>
      </c>
      <c r="I25" s="20"/>
      <c r="J25" s="26">
        <v>52100</v>
      </c>
    </row>
    <row r="26" spans="1:11">
      <c r="A26" s="8"/>
      <c r="B26" s="474"/>
      <c r="C26" s="87" t="s">
        <v>14</v>
      </c>
      <c r="D26" s="22">
        <v>3303</v>
      </c>
      <c r="E26" s="23"/>
      <c r="F26" s="23"/>
      <c r="G26" s="24"/>
      <c r="H26" s="25"/>
      <c r="I26" s="20"/>
      <c r="J26" s="26">
        <v>3303</v>
      </c>
    </row>
    <row r="27" spans="1:11">
      <c r="A27" s="8"/>
      <c r="B27" s="474"/>
      <c r="C27" s="88" t="s">
        <v>15</v>
      </c>
      <c r="D27" s="27">
        <v>367824</v>
      </c>
      <c r="E27" s="23">
        <v>0</v>
      </c>
      <c r="F27" s="23">
        <v>0</v>
      </c>
      <c r="G27" s="23">
        <v>14100</v>
      </c>
      <c r="H27" s="28">
        <v>15500</v>
      </c>
      <c r="I27" s="20"/>
      <c r="J27" s="26">
        <v>397424</v>
      </c>
    </row>
    <row r="28" spans="1:11" ht="31" thickBot="1">
      <c r="A28" s="8"/>
      <c r="B28" s="104" t="s">
        <v>18</v>
      </c>
      <c r="C28" s="105" t="s">
        <v>124</v>
      </c>
      <c r="D28" s="29">
        <v>182444</v>
      </c>
      <c r="E28" s="30"/>
      <c r="F28" s="30"/>
      <c r="G28" s="31">
        <v>4896</v>
      </c>
      <c r="H28" s="32">
        <v>5182</v>
      </c>
      <c r="I28" s="20"/>
      <c r="J28" s="33">
        <v>192522</v>
      </c>
    </row>
    <row r="29" spans="1:11" ht="16" thickBot="1">
      <c r="A29" s="8"/>
      <c r="B29" s="12"/>
      <c r="C29" s="13"/>
      <c r="D29" s="34"/>
      <c r="E29" s="34"/>
      <c r="F29" s="34"/>
      <c r="G29" s="34"/>
      <c r="H29" s="34"/>
      <c r="I29" s="20"/>
      <c r="J29" s="20"/>
    </row>
    <row r="30" spans="1:11">
      <c r="A30" s="8"/>
      <c r="B30" s="106" t="s">
        <v>6</v>
      </c>
      <c r="C30" s="107"/>
      <c r="D30" s="35">
        <v>942941</v>
      </c>
      <c r="E30" s="36">
        <v>0</v>
      </c>
      <c r="F30" s="36">
        <v>0</v>
      </c>
      <c r="G30" s="36">
        <v>27235</v>
      </c>
      <c r="H30" s="37">
        <v>26211</v>
      </c>
      <c r="I30" s="20"/>
      <c r="J30" s="21">
        <v>996387</v>
      </c>
    </row>
    <row r="31" spans="1:11" ht="31" thickBot="1">
      <c r="A31" s="8"/>
      <c r="B31" s="108" t="s">
        <v>11</v>
      </c>
      <c r="C31" s="109"/>
      <c r="D31" s="38">
        <v>707205.75</v>
      </c>
      <c r="E31" s="39">
        <v>0</v>
      </c>
      <c r="F31" s="39">
        <v>0</v>
      </c>
      <c r="G31" s="39">
        <v>27235</v>
      </c>
      <c r="H31" s="40">
        <v>26211</v>
      </c>
      <c r="I31" s="20"/>
      <c r="J31" s="33">
        <v>760651.75</v>
      </c>
    </row>
    <row r="32" spans="1:11">
      <c r="A32" s="47" t="s">
        <v>20</v>
      </c>
      <c r="B32" s="47"/>
      <c r="C32" s="8"/>
      <c r="D32" s="41"/>
      <c r="E32" s="41"/>
      <c r="F32" s="41"/>
      <c r="G32" s="41"/>
      <c r="H32" s="41"/>
      <c r="I32" s="42"/>
      <c r="J32" s="43"/>
    </row>
    <row r="33" spans="1:10">
      <c r="D33" s="44"/>
      <c r="E33" s="396"/>
      <c r="F33" s="44"/>
      <c r="G33" s="44"/>
      <c r="H33" s="44"/>
      <c r="I33" s="45"/>
      <c r="J33" s="46"/>
    </row>
    <row r="34" spans="1:10">
      <c r="D34" s="44"/>
      <c r="E34" s="44"/>
      <c r="F34" s="44"/>
      <c r="G34" s="44"/>
      <c r="H34" s="44"/>
      <c r="I34" s="45"/>
      <c r="J34" s="46"/>
    </row>
    <row r="35" spans="1:10">
      <c r="B35" s="347" t="s">
        <v>140</v>
      </c>
      <c r="C35" s="347"/>
      <c r="D35" s="351"/>
      <c r="E35" s="351"/>
      <c r="F35" s="351"/>
      <c r="G35" s="351"/>
      <c r="H35" s="351"/>
    </row>
    <row r="36" spans="1:10">
      <c r="B36" s="347" t="s">
        <v>141</v>
      </c>
      <c r="C36" s="347"/>
      <c r="D36" s="351"/>
      <c r="E36" s="351"/>
      <c r="F36" s="351"/>
      <c r="G36" s="351"/>
      <c r="H36" s="351"/>
    </row>
    <row r="37" spans="1:10">
      <c r="B37" s="347"/>
      <c r="C37" s="347"/>
      <c r="D37" s="44">
        <v>713700</v>
      </c>
      <c r="E37" s="396" t="s">
        <v>169</v>
      </c>
      <c r="F37" s="44"/>
      <c r="G37" s="351"/>
      <c r="H37" s="351"/>
    </row>
    <row r="38" spans="1:10">
      <c r="B38" s="347" t="s">
        <v>162</v>
      </c>
      <c r="C38" s="347"/>
      <c r="D38" s="351"/>
      <c r="E38" s="351"/>
      <c r="F38" s="351"/>
      <c r="G38" s="351"/>
      <c r="H38" s="351"/>
    </row>
    <row r="39" spans="1:10">
      <c r="B39" s="347"/>
      <c r="C39" s="347"/>
      <c r="D39" s="351"/>
      <c r="E39" s="351"/>
      <c r="F39" s="351"/>
      <c r="G39" s="351"/>
      <c r="H39" s="351"/>
    </row>
    <row r="40" spans="1:10">
      <c r="A40" s="48" t="s">
        <v>168</v>
      </c>
      <c r="B40" s="8"/>
      <c r="C40" s="8"/>
      <c r="D40" s="9"/>
      <c r="E40" s="9"/>
      <c r="F40" s="9"/>
      <c r="G40" s="9"/>
      <c r="H40" s="9"/>
      <c r="I40" s="15"/>
      <c r="J40" s="8"/>
    </row>
    <row r="41" spans="1:10" ht="30">
      <c r="A41" s="8"/>
      <c r="B41" s="8"/>
      <c r="C41" s="8"/>
      <c r="D41" s="10" t="s">
        <v>8</v>
      </c>
      <c r="E41" s="10" t="s">
        <v>2</v>
      </c>
      <c r="F41" s="10" t="s">
        <v>3</v>
      </c>
      <c r="G41" s="10" t="s">
        <v>9</v>
      </c>
      <c r="H41" s="10" t="s">
        <v>10</v>
      </c>
      <c r="I41" s="15"/>
      <c r="J41" s="11" t="s">
        <v>7</v>
      </c>
    </row>
    <row r="42" spans="1:10" ht="16" thickBot="1">
      <c r="A42" s="8"/>
      <c r="B42" s="8"/>
      <c r="C42" s="8"/>
      <c r="D42" s="11"/>
      <c r="E42" s="11"/>
      <c r="F42" s="11"/>
      <c r="G42" s="11"/>
      <c r="H42" s="11"/>
      <c r="I42" s="15"/>
      <c r="J42" s="8"/>
    </row>
    <row r="43" spans="1:10">
      <c r="A43" s="8"/>
      <c r="B43" s="101" t="s">
        <v>5</v>
      </c>
      <c r="C43" s="102"/>
      <c r="D43" s="16">
        <v>371534</v>
      </c>
      <c r="E43" s="17"/>
      <c r="F43" s="17"/>
      <c r="G43" s="18">
        <v>6239</v>
      </c>
      <c r="H43" s="19">
        <v>5529</v>
      </c>
      <c r="I43" s="20"/>
      <c r="J43" s="21">
        <f t="shared" ref="J43:J49" si="1">SUM(D43:H43)</f>
        <v>383302</v>
      </c>
    </row>
    <row r="44" spans="1:10">
      <c r="A44" s="8"/>
      <c r="B44" s="393" t="s">
        <v>4</v>
      </c>
      <c r="C44" s="86"/>
      <c r="D44" s="22"/>
      <c r="E44" s="23"/>
      <c r="F44" s="23"/>
      <c r="G44" s="24">
        <v>2000</v>
      </c>
      <c r="H44" s="25"/>
      <c r="I44" s="20"/>
      <c r="J44" s="26">
        <f t="shared" si="1"/>
        <v>2000</v>
      </c>
    </row>
    <row r="45" spans="1:10" ht="30">
      <c r="A45" s="8"/>
      <c r="B45" s="393" t="s">
        <v>19</v>
      </c>
      <c r="C45" s="87" t="s">
        <v>12</v>
      </c>
      <c r="D45" s="22">
        <v>328878</v>
      </c>
      <c r="E45" s="23"/>
      <c r="F45" s="23"/>
      <c r="G45" s="24">
        <v>4500</v>
      </c>
      <c r="H45" s="25">
        <v>2500</v>
      </c>
      <c r="I45" s="20"/>
      <c r="J45" s="26">
        <f t="shared" si="1"/>
        <v>335878</v>
      </c>
    </row>
    <row r="46" spans="1:10">
      <c r="A46" s="8"/>
      <c r="B46" s="394"/>
      <c r="C46" s="87" t="s">
        <v>13</v>
      </c>
      <c r="D46" s="22">
        <v>36759</v>
      </c>
      <c r="E46" s="23"/>
      <c r="F46" s="23"/>
      <c r="G46" s="24">
        <v>9600</v>
      </c>
      <c r="H46" s="25">
        <v>7000</v>
      </c>
      <c r="I46" s="20"/>
      <c r="J46" s="26">
        <f t="shared" si="1"/>
        <v>53359</v>
      </c>
    </row>
    <row r="47" spans="1:10">
      <c r="A47" s="8"/>
      <c r="B47" s="394"/>
      <c r="C47" s="87" t="s">
        <v>14</v>
      </c>
      <c r="D47" s="22">
        <v>3303</v>
      </c>
      <c r="E47" s="23"/>
      <c r="F47" s="23"/>
      <c r="G47" s="24"/>
      <c r="H47" s="25"/>
      <c r="I47" s="20"/>
      <c r="J47" s="26">
        <f t="shared" si="1"/>
        <v>3303</v>
      </c>
    </row>
    <row r="48" spans="1:10">
      <c r="A48" s="8"/>
      <c r="B48" s="394"/>
      <c r="C48" s="88" t="s">
        <v>15</v>
      </c>
      <c r="D48" s="27">
        <f>SUM(D45:D47)</f>
        <v>368940</v>
      </c>
      <c r="E48" s="23">
        <f>SUM(E45:E47)</f>
        <v>0</v>
      </c>
      <c r="F48" s="23">
        <f>SUM(F45:F47)</f>
        <v>0</v>
      </c>
      <c r="G48" s="23">
        <f>SUM(G45:G47)</f>
        <v>14100</v>
      </c>
      <c r="H48" s="28">
        <f>SUM(H45:H47)</f>
        <v>9500</v>
      </c>
      <c r="I48" s="20"/>
      <c r="J48" s="26">
        <f t="shared" si="1"/>
        <v>392540</v>
      </c>
    </row>
    <row r="49" spans="1:10" ht="31" thickBot="1">
      <c r="A49" s="8"/>
      <c r="B49" s="104" t="s">
        <v>18</v>
      </c>
      <c r="C49" s="105" t="s">
        <v>124</v>
      </c>
      <c r="D49" s="29">
        <v>177792</v>
      </c>
      <c r="E49" s="30"/>
      <c r="F49" s="30"/>
      <c r="G49" s="31">
        <v>4896</v>
      </c>
      <c r="H49" s="32">
        <v>4688</v>
      </c>
      <c r="I49" s="20"/>
      <c r="J49" s="33">
        <f t="shared" si="1"/>
        <v>187376</v>
      </c>
    </row>
    <row r="50" spans="1:10" ht="16" thickBot="1">
      <c r="A50" s="8"/>
      <c r="B50" s="12"/>
      <c r="C50" s="13"/>
      <c r="D50" s="34"/>
      <c r="E50" s="34"/>
      <c r="F50" s="34"/>
      <c r="G50" s="34"/>
      <c r="H50" s="34"/>
      <c r="I50" s="20"/>
      <c r="J50" s="20"/>
    </row>
    <row r="51" spans="1:10">
      <c r="A51" s="8"/>
      <c r="B51" s="106" t="s">
        <v>6</v>
      </c>
      <c r="C51" s="107"/>
      <c r="D51" s="35">
        <f>D43+D44+D48+D49</f>
        <v>918266</v>
      </c>
      <c r="E51" s="36">
        <f>E43+E44+E48+E49</f>
        <v>0</v>
      </c>
      <c r="F51" s="36">
        <f>F43+F44+F48+F49</f>
        <v>0</v>
      </c>
      <c r="G51" s="36">
        <f>G43+G44+G48+G49</f>
        <v>27235</v>
      </c>
      <c r="H51" s="37">
        <f>H43+H44+H48+H49</f>
        <v>19717</v>
      </c>
      <c r="I51" s="20"/>
      <c r="J51" s="21">
        <f>J43+J44+J48+J49</f>
        <v>965218</v>
      </c>
    </row>
    <row r="52" spans="1:10" ht="31" thickBot="1">
      <c r="A52" s="8"/>
      <c r="B52" s="108" t="s">
        <v>11</v>
      </c>
      <c r="C52" s="109"/>
      <c r="D52" s="38">
        <f>D51*75%</f>
        <v>688699.5</v>
      </c>
      <c r="E52" s="39">
        <f>E51*50%</f>
        <v>0</v>
      </c>
      <c r="F52" s="39">
        <f>F51*100%</f>
        <v>0</v>
      </c>
      <c r="G52" s="39">
        <f>G51*100%</f>
        <v>27235</v>
      </c>
      <c r="H52" s="40">
        <f>H51*100%</f>
        <v>19717</v>
      </c>
      <c r="I52" s="20"/>
      <c r="J52" s="33">
        <f>SUM(D52:H52)</f>
        <v>735651.5</v>
      </c>
    </row>
    <row r="53" spans="1:10">
      <c r="A53" s="47" t="s">
        <v>20</v>
      </c>
      <c r="B53" s="47"/>
      <c r="C53" s="8"/>
      <c r="D53" s="41"/>
      <c r="E53" s="41"/>
      <c r="F53" s="41"/>
      <c r="G53" s="41"/>
      <c r="H53" s="41"/>
      <c r="I53" s="42"/>
      <c r="J53" s="4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L35"/>
  <sheetViews>
    <sheetView workbookViewId="0">
      <selection activeCell="K16" sqref="K16:K17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2" ht="16">
      <c r="A1" s="1" t="s">
        <v>0</v>
      </c>
    </row>
    <row r="2" spans="1:12" ht="16">
      <c r="A2" s="1" t="s">
        <v>1</v>
      </c>
    </row>
    <row r="3" spans="1:12" ht="16">
      <c r="A3" s="6" t="s">
        <v>23</v>
      </c>
      <c r="B3" s="7" t="s">
        <v>26</v>
      </c>
      <c r="C3" s="110"/>
      <c r="H3" s="445">
        <v>42126</v>
      </c>
    </row>
    <row r="4" spans="1:12">
      <c r="G4" s="5"/>
      <c r="H4" s="4"/>
    </row>
    <row r="5" spans="1:12">
      <c r="A5" s="226" t="s">
        <v>186</v>
      </c>
      <c r="B5" s="227"/>
      <c r="C5" s="227"/>
      <c r="D5" s="228"/>
      <c r="E5" s="228"/>
      <c r="F5" s="228"/>
      <c r="G5" s="228"/>
      <c r="H5" s="228"/>
      <c r="I5" s="229"/>
      <c r="J5" s="227"/>
    </row>
    <row r="6" spans="1:12" ht="30">
      <c r="A6" s="227"/>
      <c r="B6" s="227"/>
      <c r="C6" s="227"/>
      <c r="D6" s="230" t="s">
        <v>8</v>
      </c>
      <c r="E6" s="230" t="s">
        <v>2</v>
      </c>
      <c r="F6" s="230" t="s">
        <v>3</v>
      </c>
      <c r="G6" s="230" t="s">
        <v>9</v>
      </c>
      <c r="H6" s="230" t="s">
        <v>10</v>
      </c>
      <c r="I6" s="229"/>
      <c r="J6" s="231" t="s">
        <v>7</v>
      </c>
    </row>
    <row r="7" spans="1:12" ht="16" thickBot="1">
      <c r="A7" s="227"/>
      <c r="B7" s="227"/>
      <c r="C7" s="227"/>
      <c r="D7" s="231"/>
      <c r="E7" s="231"/>
      <c r="F7" s="231"/>
      <c r="G7" s="231"/>
      <c r="H7" s="231"/>
      <c r="I7" s="229"/>
      <c r="J7" s="227"/>
    </row>
    <row r="8" spans="1:12">
      <c r="A8" s="227"/>
      <c r="B8" s="454" t="s">
        <v>5</v>
      </c>
      <c r="C8" s="455"/>
      <c r="D8" s="234">
        <v>157500</v>
      </c>
      <c r="E8" s="235"/>
      <c r="F8" s="235"/>
      <c r="G8" s="236">
        <v>4220</v>
      </c>
      <c r="H8" s="237"/>
      <c r="I8" s="238"/>
      <c r="J8" s="239">
        <f t="shared" ref="J8:J14" si="0">SUM(D8:H8)</f>
        <v>161720</v>
      </c>
    </row>
    <row r="9" spans="1:12">
      <c r="A9" s="227"/>
      <c r="B9" s="456" t="s">
        <v>4</v>
      </c>
      <c r="C9" s="457"/>
      <c r="D9" s="242">
        <v>15000</v>
      </c>
      <c r="E9" s="243"/>
      <c r="F9" s="243"/>
      <c r="G9" s="244">
        <v>2200</v>
      </c>
      <c r="H9" s="245"/>
      <c r="I9" s="238"/>
      <c r="J9" s="246">
        <f t="shared" si="0"/>
        <v>17200</v>
      </c>
    </row>
    <row r="10" spans="1:12" ht="15" customHeight="1">
      <c r="A10" s="227"/>
      <c r="B10" s="648" t="s">
        <v>19</v>
      </c>
      <c r="C10" s="458" t="s">
        <v>12</v>
      </c>
      <c r="D10" s="242">
        <v>160216</v>
      </c>
      <c r="E10" s="243"/>
      <c r="F10" s="243"/>
      <c r="G10" s="244"/>
      <c r="H10" s="245"/>
      <c r="I10" s="238"/>
      <c r="J10" s="246">
        <f t="shared" si="0"/>
        <v>160216</v>
      </c>
    </row>
    <row r="11" spans="1:12">
      <c r="A11" s="227"/>
      <c r="B11" s="649"/>
      <c r="C11" s="458" t="s">
        <v>13</v>
      </c>
      <c r="D11" s="242">
        <v>21000</v>
      </c>
      <c r="E11" s="243"/>
      <c r="F11" s="243"/>
      <c r="G11" s="244">
        <v>2125</v>
      </c>
      <c r="H11" s="245"/>
      <c r="I11" s="238"/>
      <c r="J11" s="246">
        <f t="shared" si="0"/>
        <v>23125</v>
      </c>
      <c r="L11" t="s">
        <v>185</v>
      </c>
    </row>
    <row r="12" spans="1:12">
      <c r="A12" s="227"/>
      <c r="B12" s="649"/>
      <c r="C12" s="458" t="s">
        <v>14</v>
      </c>
      <c r="D12" s="242"/>
      <c r="E12" s="243"/>
      <c r="F12" s="243"/>
      <c r="G12" s="244"/>
      <c r="H12" s="245"/>
      <c r="I12" s="238"/>
      <c r="J12" s="246">
        <f t="shared" si="0"/>
        <v>0</v>
      </c>
    </row>
    <row r="13" spans="1:12">
      <c r="A13" s="227"/>
      <c r="B13" s="650"/>
      <c r="C13" s="459" t="s">
        <v>15</v>
      </c>
      <c r="D13" s="249">
        <f>SUM(D10:D12)</f>
        <v>181216</v>
      </c>
      <c r="E13" s="243">
        <f>SUM(E10:E12)</f>
        <v>0</v>
      </c>
      <c r="F13" s="243">
        <f>SUM(F10:F12)</f>
        <v>0</v>
      </c>
      <c r="G13" s="243">
        <f>SUM(G10:G12)</f>
        <v>2125</v>
      </c>
      <c r="H13" s="250">
        <f>SUM(H10:H12)</f>
        <v>0</v>
      </c>
      <c r="I13" s="238"/>
      <c r="J13" s="246">
        <f t="shared" si="0"/>
        <v>183341</v>
      </c>
    </row>
    <row r="14" spans="1:12" ht="31" thickBot="1">
      <c r="A14" s="227"/>
      <c r="B14" s="460" t="s">
        <v>18</v>
      </c>
      <c r="C14" s="461"/>
      <c r="D14" s="469">
        <f>(D13+D8)*60%</f>
        <v>203229.6</v>
      </c>
      <c r="E14" s="254"/>
      <c r="F14" s="254"/>
      <c r="G14" s="469">
        <f>(G13+G8)*60%</f>
        <v>3807</v>
      </c>
      <c r="H14" s="469">
        <f>(H13+H8)*60%</f>
        <v>0</v>
      </c>
      <c r="I14" s="470"/>
      <c r="J14" s="471">
        <f t="shared" si="0"/>
        <v>207036.6</v>
      </c>
    </row>
    <row r="15" spans="1:12" ht="16" thickBot="1">
      <c r="A15" s="227"/>
      <c r="B15" s="463"/>
      <c r="C15" s="464"/>
      <c r="D15" s="259"/>
      <c r="E15" s="259"/>
      <c r="F15" s="259"/>
      <c r="G15" s="259"/>
      <c r="H15" s="259"/>
      <c r="I15" s="238"/>
      <c r="J15" s="238"/>
    </row>
    <row r="16" spans="1:12">
      <c r="A16" s="227"/>
      <c r="B16" s="465" t="s">
        <v>6</v>
      </c>
      <c r="C16" s="466"/>
      <c r="D16" s="262">
        <f>D8+D9+D13+D14</f>
        <v>556945.6</v>
      </c>
      <c r="E16" s="263">
        <f>E8+E9+E13+E14</f>
        <v>0</v>
      </c>
      <c r="F16" s="263">
        <f>F8+F9+F13+F14</f>
        <v>0</v>
      </c>
      <c r="G16" s="263">
        <f>G8+G9+G13+G14</f>
        <v>12352</v>
      </c>
      <c r="H16" s="264">
        <f>H8+H9+H13+H14</f>
        <v>0</v>
      </c>
      <c r="I16" s="238"/>
      <c r="J16" s="239">
        <f>J8+J9+J13+J14</f>
        <v>569297.6</v>
      </c>
      <c r="K16" s="446">
        <f>J16-J33</f>
        <v>1600</v>
      </c>
    </row>
    <row r="17" spans="1:11" ht="31" thickBot="1">
      <c r="A17" s="227"/>
      <c r="B17" s="467" t="s">
        <v>11</v>
      </c>
      <c r="C17" s="468"/>
      <c r="D17" s="267">
        <f>D16*75%</f>
        <v>417709.19999999995</v>
      </c>
      <c r="E17" s="268">
        <f>E16*50%</f>
        <v>0</v>
      </c>
      <c r="F17" s="268">
        <f>F16*100%</f>
        <v>0</v>
      </c>
      <c r="G17" s="268">
        <f>G16*100%</f>
        <v>12352</v>
      </c>
      <c r="H17" s="269">
        <f>H16*100%</f>
        <v>0</v>
      </c>
      <c r="I17" s="238"/>
      <c r="J17" s="256">
        <f>SUM(D17:H17)</f>
        <v>430061.19999999995</v>
      </c>
      <c r="K17" s="446">
        <f>J17-J34</f>
        <v>1200</v>
      </c>
    </row>
    <row r="18" spans="1:11">
      <c r="A18" s="270" t="s">
        <v>20</v>
      </c>
      <c r="B18" s="270"/>
      <c r="C18" s="227"/>
      <c r="D18" s="271"/>
      <c r="E18" s="271"/>
      <c r="F18" s="271"/>
      <c r="G18" s="271"/>
      <c r="H18" s="271"/>
      <c r="I18" s="272"/>
      <c r="J18" s="273"/>
    </row>
    <row r="19" spans="1:11">
      <c r="A19" s="270"/>
      <c r="B19" s="270"/>
      <c r="C19" s="227"/>
      <c r="D19" s="271"/>
      <c r="E19" s="271"/>
      <c r="F19" s="271"/>
      <c r="G19" s="271"/>
      <c r="H19" s="271"/>
      <c r="I19" s="272"/>
      <c r="J19" s="273"/>
    </row>
    <row r="20" spans="1:11">
      <c r="D20" s="44"/>
      <c r="E20" s="44"/>
      <c r="F20" s="44"/>
      <c r="G20" s="44"/>
      <c r="H20" s="44"/>
      <c r="I20" s="45"/>
      <c r="J20" s="46"/>
    </row>
    <row r="21" spans="1:11">
      <c r="D21" s="44"/>
      <c r="E21" s="44"/>
      <c r="F21" s="44"/>
      <c r="G21" s="44"/>
      <c r="H21" s="44"/>
      <c r="I21" s="45"/>
      <c r="J21" s="46"/>
    </row>
    <row r="22" spans="1:11">
      <c r="A22" s="48" t="s">
        <v>180</v>
      </c>
      <c r="B22" s="8"/>
      <c r="C22" s="8"/>
      <c r="D22" s="9"/>
      <c r="E22" s="9"/>
      <c r="F22" s="9"/>
      <c r="G22" s="9"/>
      <c r="H22" s="9"/>
      <c r="I22" s="15"/>
      <c r="J22" s="8"/>
    </row>
    <row r="23" spans="1:11" ht="30">
      <c r="A23" s="8"/>
      <c r="B23" s="8"/>
      <c r="C23" s="8"/>
      <c r="D23" s="10" t="s">
        <v>8</v>
      </c>
      <c r="E23" s="10" t="s">
        <v>2</v>
      </c>
      <c r="F23" s="10" t="s">
        <v>3</v>
      </c>
      <c r="G23" s="10" t="s">
        <v>9</v>
      </c>
      <c r="H23" s="10" t="s">
        <v>10</v>
      </c>
      <c r="I23" s="15"/>
      <c r="J23" s="11" t="s">
        <v>7</v>
      </c>
    </row>
    <row r="24" spans="1:11" ht="16" thickBot="1">
      <c r="A24" s="8"/>
      <c r="B24" s="8"/>
      <c r="C24" s="8"/>
      <c r="D24" s="11"/>
      <c r="E24" s="11"/>
      <c r="F24" s="11"/>
      <c r="G24" s="11"/>
      <c r="H24" s="11"/>
      <c r="I24" s="15"/>
      <c r="J24" s="8"/>
    </row>
    <row r="25" spans="1:11">
      <c r="A25" s="8"/>
      <c r="B25" s="101" t="s">
        <v>5</v>
      </c>
      <c r="C25" s="102"/>
      <c r="D25" s="16">
        <v>157500</v>
      </c>
      <c r="E25" s="17"/>
      <c r="F25" s="17"/>
      <c r="G25" s="18">
        <v>4220</v>
      </c>
      <c r="H25" s="19"/>
      <c r="I25" s="20"/>
      <c r="J25" s="21">
        <f t="shared" ref="J25:J31" si="1">SUM(D25:H25)</f>
        <v>161720</v>
      </c>
    </row>
    <row r="26" spans="1:11">
      <c r="A26" s="8"/>
      <c r="B26" s="452" t="s">
        <v>4</v>
      </c>
      <c r="C26" s="86"/>
      <c r="D26" s="22">
        <v>15000</v>
      </c>
      <c r="E26" s="23"/>
      <c r="F26" s="23"/>
      <c r="G26" s="24">
        <v>2200</v>
      </c>
      <c r="H26" s="25"/>
      <c r="I26" s="20"/>
      <c r="J26" s="26">
        <f t="shared" si="1"/>
        <v>17200</v>
      </c>
    </row>
    <row r="27" spans="1:11">
      <c r="A27" s="8"/>
      <c r="B27" s="646" t="s">
        <v>19</v>
      </c>
      <c r="C27" s="87" t="s">
        <v>12</v>
      </c>
      <c r="D27" s="22">
        <v>160216</v>
      </c>
      <c r="E27" s="23"/>
      <c r="F27" s="23"/>
      <c r="G27" s="24"/>
      <c r="H27" s="25"/>
      <c r="I27" s="20"/>
      <c r="J27" s="26">
        <f t="shared" si="1"/>
        <v>160216</v>
      </c>
    </row>
    <row r="28" spans="1:11">
      <c r="A28" s="8"/>
      <c r="B28" s="647"/>
      <c r="C28" s="87" t="s">
        <v>13</v>
      </c>
      <c r="D28" s="22">
        <v>20000</v>
      </c>
      <c r="E28" s="23"/>
      <c r="F28" s="23"/>
      <c r="G28" s="24">
        <v>2125</v>
      </c>
      <c r="H28" s="25"/>
      <c r="I28" s="20"/>
      <c r="J28" s="26">
        <f t="shared" si="1"/>
        <v>22125</v>
      </c>
    </row>
    <row r="29" spans="1:11">
      <c r="A29" s="8"/>
      <c r="B29" s="647"/>
      <c r="C29" s="87" t="s">
        <v>14</v>
      </c>
      <c r="D29" s="22"/>
      <c r="E29" s="23"/>
      <c r="F29" s="23"/>
      <c r="G29" s="24"/>
      <c r="H29" s="25"/>
      <c r="I29" s="20"/>
      <c r="J29" s="26">
        <f t="shared" si="1"/>
        <v>0</v>
      </c>
    </row>
    <row r="30" spans="1:11">
      <c r="A30" s="8"/>
      <c r="B30" s="647"/>
      <c r="C30" s="88" t="s">
        <v>15</v>
      </c>
      <c r="D30" s="27">
        <f>SUM(D27:D29)</f>
        <v>180216</v>
      </c>
      <c r="E30" s="23">
        <f>SUM(E27:E29)</f>
        <v>0</v>
      </c>
      <c r="F30" s="23">
        <f>SUM(F27:F29)</f>
        <v>0</v>
      </c>
      <c r="G30" s="23">
        <f>SUM(G27:G29)</f>
        <v>2125</v>
      </c>
      <c r="H30" s="28">
        <f>SUM(H27:H29)</f>
        <v>0</v>
      </c>
      <c r="I30" s="20"/>
      <c r="J30" s="26">
        <f t="shared" si="1"/>
        <v>182341</v>
      </c>
    </row>
    <row r="31" spans="1:11" ht="31" thickBot="1">
      <c r="A31" s="8"/>
      <c r="B31" s="104" t="s">
        <v>18</v>
      </c>
      <c r="C31" s="105"/>
      <c r="D31" s="150">
        <f>(D30+D25)*60%</f>
        <v>202629.6</v>
      </c>
      <c r="E31" s="30"/>
      <c r="F31" s="30"/>
      <c r="G31" s="150">
        <f>(G30+G25)*60%</f>
        <v>3807</v>
      </c>
      <c r="H31" s="150">
        <f>(H30+H25)*60%</f>
        <v>0</v>
      </c>
      <c r="I31" s="116"/>
      <c r="J31" s="151">
        <f t="shared" si="1"/>
        <v>206436.6</v>
      </c>
    </row>
    <row r="32" spans="1:11" ht="16" thickBot="1">
      <c r="A32" s="8"/>
      <c r="B32" s="12"/>
      <c r="C32" s="13"/>
      <c r="D32" s="34"/>
      <c r="E32" s="34"/>
      <c r="F32" s="34"/>
      <c r="G32" s="34"/>
      <c r="H32" s="34"/>
      <c r="I32" s="20"/>
      <c r="J32" s="20"/>
    </row>
    <row r="33" spans="1:10">
      <c r="A33" s="8"/>
      <c r="B33" s="106" t="s">
        <v>6</v>
      </c>
      <c r="C33" s="107"/>
      <c r="D33" s="35">
        <f>D25+D26+D30+D31</f>
        <v>555345.6</v>
      </c>
      <c r="E33" s="36">
        <f>E25+E26+E30+E31</f>
        <v>0</v>
      </c>
      <c r="F33" s="36">
        <f>F25+F26+F30+F31</f>
        <v>0</v>
      </c>
      <c r="G33" s="36">
        <f>G25+G26+G30+G31</f>
        <v>12352</v>
      </c>
      <c r="H33" s="37">
        <f>H25+H26+H30+H31</f>
        <v>0</v>
      </c>
      <c r="I33" s="20"/>
      <c r="J33" s="21">
        <f>J25+J26+J30+J31</f>
        <v>567697.6</v>
      </c>
    </row>
    <row r="34" spans="1:10" ht="31" thickBot="1">
      <c r="A34" s="8"/>
      <c r="B34" s="108" t="s">
        <v>11</v>
      </c>
      <c r="C34" s="109"/>
      <c r="D34" s="38">
        <f>D33*75%</f>
        <v>416509.19999999995</v>
      </c>
      <c r="E34" s="39">
        <f>E33*50%</f>
        <v>0</v>
      </c>
      <c r="F34" s="39">
        <f>F33*100%</f>
        <v>0</v>
      </c>
      <c r="G34" s="39">
        <f>G33*100%</f>
        <v>12352</v>
      </c>
      <c r="H34" s="40">
        <f>H33*100%</f>
        <v>0</v>
      </c>
      <c r="I34" s="20"/>
      <c r="J34" s="33">
        <f>SUM(D34:H34)</f>
        <v>428861.19999999995</v>
      </c>
    </row>
    <row r="35" spans="1:10">
      <c r="A35" s="47" t="s">
        <v>20</v>
      </c>
      <c r="B35" s="47"/>
      <c r="C35" s="8"/>
      <c r="D35" s="41"/>
      <c r="E35" s="41"/>
      <c r="F35" s="41"/>
      <c r="G35" s="41"/>
      <c r="H35" s="41"/>
      <c r="I35" s="42"/>
      <c r="J35" s="43"/>
    </row>
  </sheetData>
  <mergeCells count="2">
    <mergeCell ref="B10:B13"/>
    <mergeCell ref="B27:B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J20"/>
  <sheetViews>
    <sheetView workbookViewId="0">
      <selection activeCell="E14" sqref="E1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0" ht="16">
      <c r="A1" s="1" t="s">
        <v>0</v>
      </c>
    </row>
    <row r="2" spans="1:10" ht="16">
      <c r="A2" s="1" t="s">
        <v>1</v>
      </c>
    </row>
    <row r="3" spans="1:10" ht="16">
      <c r="A3" s="6" t="s">
        <v>23</v>
      </c>
      <c r="B3" s="7" t="s">
        <v>28</v>
      </c>
      <c r="C3" s="110"/>
      <c r="H3" s="194" t="s">
        <v>160</v>
      </c>
    </row>
    <row r="4" spans="1:10">
      <c r="G4" s="5"/>
      <c r="H4" s="4"/>
    </row>
    <row r="5" spans="1:10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0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0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0">
      <c r="A8" s="8"/>
      <c r="B8" s="101" t="s">
        <v>5</v>
      </c>
      <c r="C8" s="102"/>
      <c r="D8" s="16">
        <v>85092</v>
      </c>
      <c r="E8" s="17"/>
      <c r="F8" s="17"/>
      <c r="G8" s="18">
        <v>6060</v>
      </c>
      <c r="H8" s="19"/>
      <c r="I8" s="20"/>
      <c r="J8" s="21">
        <f t="shared" ref="J8:J14" si="0">SUM(D8:H8)</f>
        <v>91152</v>
      </c>
    </row>
    <row r="9" spans="1:10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</row>
    <row r="10" spans="1:10">
      <c r="A10" s="8"/>
      <c r="B10" s="646" t="s">
        <v>19</v>
      </c>
      <c r="C10" s="87" t="s">
        <v>12</v>
      </c>
      <c r="D10" s="22">
        <v>70883</v>
      </c>
      <c r="E10" s="23"/>
      <c r="F10" s="23"/>
      <c r="G10" s="24"/>
      <c r="H10" s="25"/>
      <c r="I10" s="20"/>
      <c r="J10" s="26">
        <f t="shared" si="0"/>
        <v>70883</v>
      </c>
    </row>
    <row r="11" spans="1:10">
      <c r="A11" s="8"/>
      <c r="B11" s="647"/>
      <c r="C11" s="87" t="s">
        <v>13</v>
      </c>
      <c r="D11" s="22">
        <v>16785</v>
      </c>
      <c r="E11" s="23"/>
      <c r="F11" s="23"/>
      <c r="G11" s="24"/>
      <c r="H11" s="25"/>
      <c r="I11" s="20"/>
      <c r="J11" s="26">
        <f t="shared" si="0"/>
        <v>16785</v>
      </c>
    </row>
    <row r="12" spans="1:10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</row>
    <row r="13" spans="1:10">
      <c r="A13" s="8"/>
      <c r="B13" s="647"/>
      <c r="C13" s="88" t="s">
        <v>15</v>
      </c>
      <c r="D13" s="27">
        <f>SUM(D10:D12)</f>
        <v>87668</v>
      </c>
      <c r="E13" s="23">
        <f>SUM(E10:E12)</f>
        <v>0</v>
      </c>
      <c r="F13" s="23">
        <f>SUM(F10:F12)</f>
        <v>0</v>
      </c>
      <c r="G13" s="23">
        <f>SUM(G10:G12)</f>
        <v>0</v>
      </c>
      <c r="H13" s="28">
        <f>SUM(H10:H12)</f>
        <v>0</v>
      </c>
      <c r="I13" s="20"/>
      <c r="J13" s="26">
        <f t="shared" si="0"/>
        <v>87668</v>
      </c>
    </row>
    <row r="14" spans="1:10" ht="31" thickBot="1">
      <c r="A14" s="8"/>
      <c r="B14" s="104" t="s">
        <v>18</v>
      </c>
      <c r="C14" s="105"/>
      <c r="D14" s="29">
        <f>(D8+D13)*60%</f>
        <v>103656</v>
      </c>
      <c r="E14" s="30"/>
      <c r="F14" s="30"/>
      <c r="G14" s="31">
        <v>3636</v>
      </c>
      <c r="H14" s="32"/>
      <c r="I14" s="20"/>
      <c r="J14" s="33">
        <f t="shared" si="0"/>
        <v>107292</v>
      </c>
    </row>
    <row r="15" spans="1:10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0">
      <c r="A16" s="8"/>
      <c r="B16" s="106" t="s">
        <v>6</v>
      </c>
      <c r="C16" s="107"/>
      <c r="D16" s="35">
        <f>D8+D9+D13+D14</f>
        <v>276416</v>
      </c>
      <c r="E16" s="36">
        <f>E8+E9+E13+E14</f>
        <v>0</v>
      </c>
      <c r="F16" s="36">
        <f>F8+F9+F13+F14</f>
        <v>0</v>
      </c>
      <c r="G16" s="36">
        <f>G8+G9+G13+G14</f>
        <v>9696</v>
      </c>
      <c r="H16" s="37">
        <f>H8+H9+H13+H14</f>
        <v>0</v>
      </c>
      <c r="I16" s="20"/>
      <c r="J16" s="21">
        <f>J8+J9+J13+J14</f>
        <v>286112</v>
      </c>
    </row>
    <row r="17" spans="1:10" ht="31" thickBot="1">
      <c r="A17" s="8"/>
      <c r="B17" s="108" t="s">
        <v>11</v>
      </c>
      <c r="C17" s="109"/>
      <c r="D17" s="38">
        <f>D16*75%</f>
        <v>207312</v>
      </c>
      <c r="E17" s="39">
        <f>E16*50%</f>
        <v>0</v>
      </c>
      <c r="F17" s="39">
        <f>F16*100%</f>
        <v>0</v>
      </c>
      <c r="G17" s="39">
        <f>G16*100%</f>
        <v>9696</v>
      </c>
      <c r="H17" s="40">
        <f>H16*100%</f>
        <v>0</v>
      </c>
      <c r="I17" s="20"/>
      <c r="J17" s="33">
        <f>SUM(D17:H17)</f>
        <v>217008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0">
      <c r="D19" s="44"/>
      <c r="E19" s="44"/>
      <c r="F19" s="44"/>
      <c r="G19" s="44"/>
      <c r="H19" s="44"/>
      <c r="I19" s="45"/>
      <c r="J19" s="46"/>
    </row>
    <row r="20" spans="1:10">
      <c r="D20" s="44"/>
      <c r="E20" s="44"/>
      <c r="F20" s="44"/>
      <c r="G20" s="44"/>
      <c r="H20" s="44"/>
      <c r="I20" s="45"/>
      <c r="J20" s="46"/>
    </row>
  </sheetData>
  <sheetProtection sheet="1" objects="1" scenarios="1"/>
  <mergeCells count="1">
    <mergeCell ref="B10:B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K34"/>
  <sheetViews>
    <sheetView workbookViewId="0">
      <selection activeCell="D8" sqref="D8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1" ht="16">
      <c r="A1" s="1" t="s">
        <v>0</v>
      </c>
    </row>
    <row r="2" spans="1:11" ht="16">
      <c r="A2" s="1" t="s">
        <v>1</v>
      </c>
    </row>
    <row r="3" spans="1:11" ht="16">
      <c r="A3" s="6" t="s">
        <v>23</v>
      </c>
      <c r="B3" s="7" t="s">
        <v>33</v>
      </c>
      <c r="C3" s="110"/>
      <c r="H3" s="445">
        <v>42594</v>
      </c>
    </row>
    <row r="4" spans="1:11">
      <c r="G4" s="5"/>
      <c r="H4" s="4"/>
    </row>
    <row r="5" spans="1:11">
      <c r="A5" s="48" t="s">
        <v>201</v>
      </c>
      <c r="B5" s="8"/>
      <c r="C5" s="8"/>
      <c r="D5" s="9"/>
      <c r="E5" s="9"/>
      <c r="F5" s="9"/>
      <c r="G5" s="9"/>
      <c r="H5" s="9"/>
      <c r="I5" s="15"/>
      <c r="J5" s="8"/>
    </row>
    <row r="6" spans="1:11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1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1">
      <c r="A8" s="8"/>
      <c r="B8" s="101" t="s">
        <v>5</v>
      </c>
      <c r="C8" s="102"/>
      <c r="D8" s="16">
        <v>236140</v>
      </c>
      <c r="E8" s="17"/>
      <c r="F8" s="17"/>
      <c r="G8" s="18">
        <v>12000</v>
      </c>
      <c r="H8" s="19"/>
      <c r="I8" s="20"/>
      <c r="J8" s="21">
        <f t="shared" ref="J8:J14" si="0">SUM(D8:H8)</f>
        <v>248140</v>
      </c>
      <c r="K8" s="371">
        <f>J8-J24</f>
        <v>8891</v>
      </c>
    </row>
    <row r="9" spans="1:11">
      <c r="A9" s="8"/>
      <c r="B9" s="103" t="s">
        <v>4</v>
      </c>
      <c r="C9" s="86"/>
      <c r="D9" s="22"/>
      <c r="E9" s="23"/>
      <c r="F9" s="23"/>
      <c r="G9" s="24"/>
      <c r="H9" s="25"/>
      <c r="I9" s="20"/>
      <c r="J9" s="26">
        <f t="shared" si="0"/>
        <v>0</v>
      </c>
      <c r="K9" s="2"/>
    </row>
    <row r="10" spans="1:11">
      <c r="A10" s="8"/>
      <c r="B10" s="646" t="s">
        <v>19</v>
      </c>
      <c r="C10" s="87" t="s">
        <v>126</v>
      </c>
      <c r="D10" s="22">
        <v>8750</v>
      </c>
      <c r="E10" s="23"/>
      <c r="F10" s="23"/>
      <c r="G10" s="24"/>
      <c r="H10" s="25"/>
      <c r="I10" s="20"/>
      <c r="J10" s="26">
        <f t="shared" si="0"/>
        <v>8750</v>
      </c>
      <c r="K10" s="371">
        <f>J10-J26</f>
        <v>0</v>
      </c>
    </row>
    <row r="11" spans="1:11">
      <c r="A11" s="8"/>
      <c r="B11" s="647"/>
      <c r="C11" s="87" t="s">
        <v>13</v>
      </c>
      <c r="D11" s="339">
        <v>12984</v>
      </c>
      <c r="E11" s="23"/>
      <c r="F11" s="23"/>
      <c r="G11" s="24"/>
      <c r="H11" s="25"/>
      <c r="I11" s="20"/>
      <c r="J11" s="26">
        <f t="shared" si="0"/>
        <v>12984</v>
      </c>
      <c r="K11" s="371">
        <f>J11-J27</f>
        <v>0</v>
      </c>
    </row>
    <row r="12" spans="1:11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  <c r="K12" s="371">
        <f>J12-J28</f>
        <v>0</v>
      </c>
    </row>
    <row r="13" spans="1:11">
      <c r="A13" s="8"/>
      <c r="B13" s="647"/>
      <c r="C13" s="88" t="s">
        <v>15</v>
      </c>
      <c r="D13" s="27">
        <f>SUM(D10:D12)</f>
        <v>21734</v>
      </c>
      <c r="E13" s="23">
        <f>SUM(E10:E12)</f>
        <v>0</v>
      </c>
      <c r="F13" s="23">
        <f>SUM(F10:F12)</f>
        <v>0</v>
      </c>
      <c r="G13" s="23">
        <f>SUM(G10:G12)</f>
        <v>0</v>
      </c>
      <c r="H13" s="28">
        <f>SUM(H10:H12)</f>
        <v>0</v>
      </c>
      <c r="I13" s="20"/>
      <c r="J13" s="26">
        <f t="shared" si="0"/>
        <v>21734</v>
      </c>
      <c r="K13" s="2"/>
    </row>
    <row r="14" spans="1:11" ht="31" thickBot="1">
      <c r="A14" s="8"/>
      <c r="B14" s="104" t="s">
        <v>18</v>
      </c>
      <c r="C14" s="105" t="s">
        <v>127</v>
      </c>
      <c r="D14" s="29">
        <f>D8*50%</f>
        <v>118070</v>
      </c>
      <c r="E14" s="30"/>
      <c r="F14" s="30"/>
      <c r="G14" s="29">
        <f>G8*50%</f>
        <v>6000</v>
      </c>
      <c r="H14" s="29">
        <f>H8*50%</f>
        <v>0</v>
      </c>
      <c r="I14" s="20"/>
      <c r="J14" s="33">
        <f t="shared" si="0"/>
        <v>124070</v>
      </c>
      <c r="K14" s="2"/>
    </row>
    <row r="15" spans="1:11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  <c r="K15" s="2"/>
    </row>
    <row r="16" spans="1:11">
      <c r="A16" s="8"/>
      <c r="B16" s="106" t="s">
        <v>6</v>
      </c>
      <c r="C16" s="107"/>
      <c r="D16" s="35">
        <f>D8+D9+D13+D14</f>
        <v>375944</v>
      </c>
      <c r="E16" s="36">
        <f>E8+E9+E13+E14</f>
        <v>0</v>
      </c>
      <c r="F16" s="36">
        <f>F8+F9+F13+F14</f>
        <v>0</v>
      </c>
      <c r="G16" s="36">
        <f>G8+G9+G13+G14</f>
        <v>18000</v>
      </c>
      <c r="H16" s="37">
        <f>H8+H9+H13+H14</f>
        <v>0</v>
      </c>
      <c r="I16" s="20"/>
      <c r="J16" s="21">
        <f>J8+J9+J13+J14</f>
        <v>393944</v>
      </c>
      <c r="K16" s="371">
        <f>J16-J32</f>
        <v>13336.5</v>
      </c>
    </row>
    <row r="17" spans="1:11" ht="31" thickBot="1">
      <c r="A17" s="8"/>
      <c r="B17" s="108" t="s">
        <v>11</v>
      </c>
      <c r="C17" s="109"/>
      <c r="D17" s="38">
        <f>D16*75%</f>
        <v>281958</v>
      </c>
      <c r="E17" s="39">
        <f>E16*50%</f>
        <v>0</v>
      </c>
      <c r="F17" s="39">
        <f>F16*100%</f>
        <v>0</v>
      </c>
      <c r="G17" s="39">
        <f>G16*100%</f>
        <v>18000</v>
      </c>
      <c r="H17" s="40">
        <f>H16*100%</f>
        <v>0</v>
      </c>
      <c r="I17" s="20"/>
      <c r="J17" s="33">
        <f>SUM(D17:H17)</f>
        <v>299958</v>
      </c>
      <c r="K17" s="371">
        <f>J17-J33</f>
        <v>10002.375</v>
      </c>
    </row>
    <row r="18" spans="1:11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1">
      <c r="D19" s="44"/>
      <c r="E19" s="44"/>
      <c r="F19" s="44"/>
      <c r="G19" s="44"/>
      <c r="H19" s="44"/>
      <c r="I19" s="45"/>
      <c r="J19" s="46"/>
    </row>
    <row r="20" spans="1:11">
      <c r="D20" s="44"/>
      <c r="E20" s="44"/>
      <c r="F20" s="44"/>
      <c r="G20" s="44"/>
      <c r="H20" s="44"/>
      <c r="I20" s="45"/>
      <c r="J20" s="46"/>
    </row>
    <row r="21" spans="1:11">
      <c r="A21" s="48"/>
      <c r="B21" s="8"/>
      <c r="C21" s="8"/>
      <c r="D21" s="9"/>
      <c r="E21" s="9"/>
      <c r="F21" s="9"/>
      <c r="G21" s="9"/>
      <c r="H21" s="9"/>
      <c r="I21" s="15"/>
      <c r="J21" s="8"/>
    </row>
    <row r="22" spans="1:11" ht="30">
      <c r="A22" s="8"/>
      <c r="B22" s="8"/>
      <c r="C22" s="8"/>
      <c r="D22" s="10" t="s">
        <v>8</v>
      </c>
      <c r="E22" s="10" t="s">
        <v>2</v>
      </c>
      <c r="F22" s="10" t="s">
        <v>3</v>
      </c>
      <c r="G22" s="10" t="s">
        <v>9</v>
      </c>
      <c r="H22" s="10" t="s">
        <v>10</v>
      </c>
      <c r="I22" s="15"/>
      <c r="J22" s="11" t="s">
        <v>7</v>
      </c>
    </row>
    <row r="23" spans="1:11" ht="16" thickBot="1">
      <c r="A23" s="8"/>
      <c r="B23" s="8"/>
      <c r="C23" s="8"/>
      <c r="D23" s="11"/>
      <c r="E23" s="11"/>
      <c r="F23" s="11"/>
      <c r="G23" s="11"/>
      <c r="H23" s="11"/>
      <c r="I23" s="15"/>
      <c r="J23" s="8"/>
    </row>
    <row r="24" spans="1:11">
      <c r="A24" s="8"/>
      <c r="B24" s="101" t="s">
        <v>5</v>
      </c>
      <c r="C24" s="102"/>
      <c r="D24" s="16">
        <v>227249</v>
      </c>
      <c r="E24" s="17"/>
      <c r="F24" s="17"/>
      <c r="G24" s="18">
        <v>12000</v>
      </c>
      <c r="H24" s="19"/>
      <c r="I24" s="20"/>
      <c r="J24" s="21">
        <f t="shared" ref="J24:J30" si="1">SUM(D24:H24)</f>
        <v>239249</v>
      </c>
    </row>
    <row r="25" spans="1:11">
      <c r="A25" s="8"/>
      <c r="B25" s="482" t="s">
        <v>4</v>
      </c>
      <c r="C25" s="86"/>
      <c r="D25" s="22"/>
      <c r="E25" s="23"/>
      <c r="F25" s="23"/>
      <c r="G25" s="24"/>
      <c r="H25" s="25"/>
      <c r="I25" s="20"/>
      <c r="J25" s="26">
        <f t="shared" si="1"/>
        <v>0</v>
      </c>
    </row>
    <row r="26" spans="1:11">
      <c r="A26" s="8"/>
      <c r="B26" s="646" t="s">
        <v>19</v>
      </c>
      <c r="C26" s="87" t="s">
        <v>126</v>
      </c>
      <c r="D26" s="22">
        <v>8750</v>
      </c>
      <c r="E26" s="23"/>
      <c r="F26" s="23"/>
      <c r="G26" s="24"/>
      <c r="H26" s="25"/>
      <c r="I26" s="20"/>
      <c r="J26" s="26">
        <f t="shared" si="1"/>
        <v>8750</v>
      </c>
    </row>
    <row r="27" spans="1:11">
      <c r="A27" s="8"/>
      <c r="B27" s="647"/>
      <c r="C27" s="87" t="s">
        <v>13</v>
      </c>
      <c r="D27" s="339">
        <v>12984</v>
      </c>
      <c r="E27" s="23"/>
      <c r="F27" s="23"/>
      <c r="G27" s="24"/>
      <c r="H27" s="25"/>
      <c r="I27" s="20"/>
      <c r="J27" s="26">
        <f t="shared" si="1"/>
        <v>12984</v>
      </c>
    </row>
    <row r="28" spans="1:11">
      <c r="A28" s="8"/>
      <c r="B28" s="647"/>
      <c r="C28" s="87" t="s">
        <v>14</v>
      </c>
      <c r="D28" s="22"/>
      <c r="E28" s="23"/>
      <c r="F28" s="23"/>
      <c r="G28" s="24"/>
      <c r="H28" s="25"/>
      <c r="I28" s="20"/>
      <c r="J28" s="26">
        <f t="shared" si="1"/>
        <v>0</v>
      </c>
    </row>
    <row r="29" spans="1:11">
      <c r="A29" s="8"/>
      <c r="B29" s="647"/>
      <c r="C29" s="88" t="s">
        <v>15</v>
      </c>
      <c r="D29" s="27">
        <f>SUM(D26:D28)</f>
        <v>21734</v>
      </c>
      <c r="E29" s="23">
        <f>SUM(E26:E28)</f>
        <v>0</v>
      </c>
      <c r="F29" s="23">
        <f>SUM(F26:F28)</f>
        <v>0</v>
      </c>
      <c r="G29" s="23">
        <f>SUM(G26:G28)</f>
        <v>0</v>
      </c>
      <c r="H29" s="28">
        <f>SUM(H26:H28)</f>
        <v>0</v>
      </c>
      <c r="I29" s="20"/>
      <c r="J29" s="26">
        <f t="shared" si="1"/>
        <v>21734</v>
      </c>
    </row>
    <row r="30" spans="1:11" ht="31" thickBot="1">
      <c r="A30" s="8"/>
      <c r="B30" s="104" t="s">
        <v>18</v>
      </c>
      <c r="C30" s="105" t="s">
        <v>127</v>
      </c>
      <c r="D30" s="29">
        <f>D24*50%</f>
        <v>113624.5</v>
      </c>
      <c r="E30" s="30"/>
      <c r="F30" s="30"/>
      <c r="G30" s="29">
        <f>G24*50%</f>
        <v>6000</v>
      </c>
      <c r="H30" s="29">
        <f>H24*50%</f>
        <v>0</v>
      </c>
      <c r="I30" s="20"/>
      <c r="J30" s="33">
        <f t="shared" si="1"/>
        <v>119624.5</v>
      </c>
    </row>
    <row r="31" spans="1:11" ht="16" thickBot="1">
      <c r="A31" s="8"/>
      <c r="B31" s="12"/>
      <c r="C31" s="13"/>
      <c r="D31" s="34"/>
      <c r="E31" s="34"/>
      <c r="F31" s="34"/>
      <c r="G31" s="34"/>
      <c r="H31" s="34"/>
      <c r="I31" s="20"/>
      <c r="J31" s="20"/>
    </row>
    <row r="32" spans="1:11">
      <c r="A32" s="8"/>
      <c r="B32" s="106" t="s">
        <v>6</v>
      </c>
      <c r="C32" s="107"/>
      <c r="D32" s="35">
        <f>D24+D25+D29+D30</f>
        <v>362607.5</v>
      </c>
      <c r="E32" s="36">
        <f>E24+E25+E29+E30</f>
        <v>0</v>
      </c>
      <c r="F32" s="36">
        <f>F24+F25+F29+F30</f>
        <v>0</v>
      </c>
      <c r="G32" s="36">
        <f>G24+G25+G29+G30</f>
        <v>18000</v>
      </c>
      <c r="H32" s="37">
        <f>H24+H25+H29+H30</f>
        <v>0</v>
      </c>
      <c r="I32" s="20"/>
      <c r="J32" s="21">
        <f>J24+J25+J29+J30</f>
        <v>380607.5</v>
      </c>
    </row>
    <row r="33" spans="1:10" ht="31" thickBot="1">
      <c r="A33" s="8"/>
      <c r="B33" s="108" t="s">
        <v>11</v>
      </c>
      <c r="C33" s="109"/>
      <c r="D33" s="38">
        <f>D32*75%</f>
        <v>271955.625</v>
      </c>
      <c r="E33" s="39">
        <f>E32*50%</f>
        <v>0</v>
      </c>
      <c r="F33" s="39">
        <f>F32*100%</f>
        <v>0</v>
      </c>
      <c r="G33" s="39">
        <f>G32*100%</f>
        <v>18000</v>
      </c>
      <c r="H33" s="40">
        <f>H32*100%</f>
        <v>0</v>
      </c>
      <c r="I33" s="20"/>
      <c r="J33" s="33">
        <f>SUM(D33:H33)</f>
        <v>289955.625</v>
      </c>
    </row>
    <row r="34" spans="1:10">
      <c r="A34" s="47" t="s">
        <v>20</v>
      </c>
      <c r="B34" s="47"/>
      <c r="C34" s="8"/>
      <c r="D34" s="41"/>
      <c r="E34" s="41"/>
      <c r="F34" s="41"/>
      <c r="G34" s="41"/>
      <c r="H34" s="41"/>
      <c r="I34" s="42"/>
      <c r="J34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M34"/>
  <sheetViews>
    <sheetView workbookViewId="0">
      <selection activeCell="D14" sqref="D14"/>
    </sheetView>
  </sheetViews>
  <sheetFormatPr baseColWidth="10" defaultRowHeight="15" x14ac:dyDescent="0"/>
  <cols>
    <col min="1" max="1" width="15.83203125" style="2" customWidth="1"/>
    <col min="2" max="3" width="15.6640625" style="2" customWidth="1"/>
    <col min="4" max="4" width="9.83203125" style="3" customWidth="1"/>
    <col min="5" max="5" width="15.33203125" style="3" customWidth="1"/>
    <col min="6" max="7" width="12.83203125" style="3" customWidth="1"/>
    <col min="8" max="8" width="14.1640625" style="3" customWidth="1"/>
    <col min="9" max="9" width="2.5" style="14" customWidth="1"/>
    <col min="10" max="10" width="10.83203125" style="2"/>
  </cols>
  <sheetData>
    <row r="1" spans="1:13" ht="16">
      <c r="A1" s="1" t="s">
        <v>0</v>
      </c>
    </row>
    <row r="2" spans="1:13" ht="16">
      <c r="A2" s="1" t="s">
        <v>1</v>
      </c>
    </row>
    <row r="3" spans="1:13" ht="16">
      <c r="A3" s="6" t="s">
        <v>23</v>
      </c>
      <c r="B3" s="7" t="s">
        <v>32</v>
      </c>
      <c r="C3" s="110"/>
      <c r="H3" s="194" t="s">
        <v>172</v>
      </c>
    </row>
    <row r="4" spans="1:13">
      <c r="G4" s="5"/>
      <c r="H4" s="4"/>
    </row>
    <row r="5" spans="1:13">
      <c r="A5" s="48"/>
      <c r="B5" s="8"/>
      <c r="C5" s="8"/>
      <c r="D5" s="9"/>
      <c r="E5" s="9"/>
      <c r="F5" s="9"/>
      <c r="G5" s="9"/>
      <c r="H5" s="9"/>
      <c r="I5" s="15"/>
      <c r="J5" s="8"/>
    </row>
    <row r="6" spans="1:13" ht="30">
      <c r="A6" s="8"/>
      <c r="B6" s="8"/>
      <c r="C6" s="8"/>
      <c r="D6" s="10" t="s">
        <v>8</v>
      </c>
      <c r="E6" s="10" t="s">
        <v>2</v>
      </c>
      <c r="F6" s="10" t="s">
        <v>3</v>
      </c>
      <c r="G6" s="10" t="s">
        <v>9</v>
      </c>
      <c r="H6" s="10" t="s">
        <v>10</v>
      </c>
      <c r="I6" s="15"/>
      <c r="J6" s="11" t="s">
        <v>7</v>
      </c>
    </row>
    <row r="7" spans="1:13" ht="16" thickBot="1">
      <c r="A7" s="8"/>
      <c r="B7" s="8"/>
      <c r="C7" s="8"/>
      <c r="D7" s="11"/>
      <c r="E7" s="11"/>
      <c r="F7" s="11"/>
      <c r="G7" s="11"/>
      <c r="H7" s="11"/>
      <c r="I7" s="15"/>
      <c r="J7" s="8"/>
    </row>
    <row r="8" spans="1:13">
      <c r="A8" s="8"/>
      <c r="B8" s="101" t="s">
        <v>5</v>
      </c>
      <c r="C8" s="102"/>
      <c r="D8" s="16">
        <v>179426</v>
      </c>
      <c r="E8" s="17"/>
      <c r="F8" s="17"/>
      <c r="G8" s="18">
        <v>1506</v>
      </c>
      <c r="H8" s="19">
        <v>2620</v>
      </c>
      <c r="I8" s="20"/>
      <c r="J8" s="21">
        <f t="shared" ref="J8:J14" si="0">SUM(D8:H8)</f>
        <v>183552</v>
      </c>
      <c r="L8" s="16">
        <v>4859</v>
      </c>
      <c r="M8" s="343" t="s">
        <v>137</v>
      </c>
    </row>
    <row r="9" spans="1:13">
      <c r="A9" s="8"/>
      <c r="B9" s="103" t="s">
        <v>4</v>
      </c>
      <c r="C9" s="86"/>
      <c r="D9" s="22"/>
      <c r="E9" s="23"/>
      <c r="F9" s="23"/>
      <c r="G9" s="24">
        <v>4851</v>
      </c>
      <c r="H9" s="25"/>
      <c r="I9" s="20"/>
      <c r="J9" s="26">
        <f t="shared" si="0"/>
        <v>4851</v>
      </c>
      <c r="L9" s="22"/>
    </row>
    <row r="10" spans="1:13">
      <c r="A10" s="8"/>
      <c r="B10" s="646" t="s">
        <v>19</v>
      </c>
      <c r="C10" s="87" t="s">
        <v>12</v>
      </c>
      <c r="D10" s="22">
        <v>212143</v>
      </c>
      <c r="E10" s="23"/>
      <c r="F10" s="23"/>
      <c r="G10" s="24">
        <v>4000</v>
      </c>
      <c r="H10" s="25">
        <v>2785</v>
      </c>
      <c r="I10" s="20"/>
      <c r="J10" s="26">
        <f t="shared" si="0"/>
        <v>218928</v>
      </c>
      <c r="L10" s="22"/>
    </row>
    <row r="11" spans="1:13">
      <c r="A11" s="8"/>
      <c r="B11" s="647"/>
      <c r="C11" s="87" t="s">
        <v>13</v>
      </c>
      <c r="D11" s="22">
        <v>34000</v>
      </c>
      <c r="E11" s="23"/>
      <c r="F11" s="23"/>
      <c r="G11" s="24">
        <v>2000</v>
      </c>
      <c r="H11" s="25">
        <v>12000</v>
      </c>
      <c r="I11" s="20"/>
      <c r="J11" s="26">
        <f t="shared" si="0"/>
        <v>48000</v>
      </c>
      <c r="L11" s="22"/>
    </row>
    <row r="12" spans="1:13">
      <c r="A12" s="8"/>
      <c r="B12" s="647"/>
      <c r="C12" s="87" t="s">
        <v>14</v>
      </c>
      <c r="D12" s="22"/>
      <c r="E12" s="23"/>
      <c r="F12" s="23"/>
      <c r="G12" s="24"/>
      <c r="H12" s="25"/>
      <c r="I12" s="20"/>
      <c r="J12" s="26">
        <f t="shared" si="0"/>
        <v>0</v>
      </c>
      <c r="L12" s="22"/>
    </row>
    <row r="13" spans="1:13">
      <c r="A13" s="8"/>
      <c r="B13" s="647"/>
      <c r="C13" s="88" t="s">
        <v>15</v>
      </c>
      <c r="D13" s="27">
        <f>SUM(D10:D12)</f>
        <v>246143</v>
      </c>
      <c r="E13" s="23">
        <f>SUM(E10:E12)</f>
        <v>0</v>
      </c>
      <c r="F13" s="23">
        <f>SUM(F10:F12)</f>
        <v>0</v>
      </c>
      <c r="G13" s="23">
        <f>SUM(G10:G12)</f>
        <v>6000</v>
      </c>
      <c r="H13" s="28">
        <f>SUM(H10:H12)</f>
        <v>14785</v>
      </c>
      <c r="I13" s="20"/>
      <c r="J13" s="26">
        <f t="shared" si="0"/>
        <v>266928</v>
      </c>
      <c r="L13" s="27">
        <f>SUM(L10:L12)</f>
        <v>0</v>
      </c>
    </row>
    <row r="14" spans="1:13" ht="31" thickBot="1">
      <c r="A14" s="8"/>
      <c r="B14" s="104" t="s">
        <v>18</v>
      </c>
      <c r="C14" s="105"/>
      <c r="D14" s="29">
        <v>314777</v>
      </c>
      <c r="E14" s="30"/>
      <c r="F14" s="30"/>
      <c r="G14" s="31">
        <v>2642</v>
      </c>
      <c r="H14" s="32">
        <v>4596</v>
      </c>
      <c r="I14" s="20"/>
      <c r="J14" s="33">
        <f t="shared" si="0"/>
        <v>322015</v>
      </c>
      <c r="L14" s="29">
        <f>L8*54%</f>
        <v>2623.86</v>
      </c>
    </row>
    <row r="15" spans="1:13" ht="16" thickBot="1">
      <c r="A15" s="8"/>
      <c r="B15" s="12"/>
      <c r="C15" s="13"/>
      <c r="D15" s="34"/>
      <c r="E15" s="34"/>
      <c r="F15" s="34"/>
      <c r="G15" s="34"/>
      <c r="H15" s="34"/>
      <c r="I15" s="20"/>
      <c r="J15" s="20"/>
    </row>
    <row r="16" spans="1:13">
      <c r="A16" s="8"/>
      <c r="B16" s="106" t="s">
        <v>6</v>
      </c>
      <c r="C16" s="107"/>
      <c r="D16" s="35">
        <f>D8+D9+D13+D14</f>
        <v>740346</v>
      </c>
      <c r="E16" s="36">
        <f>E8+E9+E13+E14</f>
        <v>0</v>
      </c>
      <c r="F16" s="36">
        <f>F8+F9+F13+F14</f>
        <v>0</v>
      </c>
      <c r="G16" s="36">
        <f>G8+G9+G13+G14</f>
        <v>14999</v>
      </c>
      <c r="H16" s="37">
        <f>H8+H9+H13+H14</f>
        <v>22001</v>
      </c>
      <c r="I16" s="20"/>
      <c r="J16" s="21">
        <f>J8+J9+J13+J14</f>
        <v>777346</v>
      </c>
      <c r="L16" s="35">
        <f>L8+L9+L13+L14</f>
        <v>7482.8600000000006</v>
      </c>
    </row>
    <row r="17" spans="1:10" ht="31" thickBot="1">
      <c r="A17" s="8"/>
      <c r="B17" s="108" t="s">
        <v>11</v>
      </c>
      <c r="C17" s="109"/>
      <c r="D17" s="38">
        <f>D16*75%</f>
        <v>555259.5</v>
      </c>
      <c r="E17" s="39">
        <f>E16*50%</f>
        <v>0</v>
      </c>
      <c r="F17" s="39">
        <f>F16*100%</f>
        <v>0</v>
      </c>
      <c r="G17" s="39">
        <f>G16*100%</f>
        <v>14999</v>
      </c>
      <c r="H17" s="40">
        <f>H16*100%</f>
        <v>22001</v>
      </c>
      <c r="I17" s="20"/>
      <c r="J17" s="33">
        <f>SUM(D17:H17)</f>
        <v>592259.5</v>
      </c>
    </row>
    <row r="18" spans="1:10">
      <c r="A18" s="47" t="s">
        <v>20</v>
      </c>
      <c r="B18" s="47"/>
      <c r="C18" s="8"/>
      <c r="D18" s="41"/>
      <c r="E18" s="41"/>
      <c r="F18" s="41"/>
      <c r="G18" s="41"/>
      <c r="H18" s="41"/>
      <c r="I18" s="42"/>
      <c r="J18" s="43"/>
    </row>
    <row r="19" spans="1:10">
      <c r="D19" s="44"/>
      <c r="E19" s="44"/>
      <c r="F19" s="44"/>
      <c r="G19" s="44"/>
      <c r="H19" s="44"/>
      <c r="I19" s="45"/>
      <c r="J19" s="46"/>
    </row>
    <row r="20" spans="1:10">
      <c r="D20" s="44"/>
      <c r="E20" s="44"/>
      <c r="F20" s="44"/>
      <c r="G20" s="44"/>
      <c r="H20" s="44"/>
      <c r="I20" s="45"/>
      <c r="J20" s="46"/>
    </row>
    <row r="21" spans="1:10">
      <c r="A21" s="48" t="s">
        <v>159</v>
      </c>
      <c r="B21" s="8"/>
      <c r="C21" s="8"/>
      <c r="D21" s="9"/>
      <c r="E21" s="9"/>
      <c r="F21" s="9"/>
      <c r="G21" s="9"/>
      <c r="H21" s="9"/>
      <c r="I21" s="15"/>
      <c r="J21" s="8"/>
    </row>
    <row r="22" spans="1:10" ht="30">
      <c r="A22" s="8"/>
      <c r="B22" s="8"/>
      <c r="C22" s="8"/>
      <c r="D22" s="10" t="s">
        <v>8</v>
      </c>
      <c r="E22" s="10" t="s">
        <v>2</v>
      </c>
      <c r="F22" s="10" t="s">
        <v>3</v>
      </c>
      <c r="G22" s="10" t="s">
        <v>9</v>
      </c>
      <c r="H22" s="10" t="s">
        <v>10</v>
      </c>
      <c r="I22" s="15"/>
      <c r="J22" s="11" t="s">
        <v>7</v>
      </c>
    </row>
    <row r="23" spans="1:10" ht="16" thickBot="1">
      <c r="A23" s="8"/>
      <c r="B23" s="8"/>
      <c r="C23" s="8"/>
      <c r="D23" s="11"/>
      <c r="E23" s="11"/>
      <c r="F23" s="11"/>
      <c r="G23" s="11"/>
      <c r="H23" s="11"/>
      <c r="I23" s="15"/>
      <c r="J23" s="8"/>
    </row>
    <row r="24" spans="1:10">
      <c r="A24" s="8"/>
      <c r="B24" s="101" t="s">
        <v>5</v>
      </c>
      <c r="C24" s="102"/>
      <c r="D24" s="16">
        <v>325674</v>
      </c>
      <c r="E24" s="17"/>
      <c r="F24" s="17"/>
      <c r="G24" s="18">
        <v>2694</v>
      </c>
      <c r="H24" s="19">
        <v>4685</v>
      </c>
      <c r="I24" s="20"/>
      <c r="J24" s="21">
        <f t="shared" ref="J24:J30" si="1">SUM(D24:H24)</f>
        <v>333053</v>
      </c>
    </row>
    <row r="25" spans="1:10">
      <c r="A25" s="8"/>
      <c r="B25" s="383" t="s">
        <v>4</v>
      </c>
      <c r="C25" s="86"/>
      <c r="D25" s="22"/>
      <c r="E25" s="23"/>
      <c r="F25" s="23"/>
      <c r="G25" s="24">
        <v>4851</v>
      </c>
      <c r="H25" s="25"/>
      <c r="I25" s="20"/>
      <c r="J25" s="26">
        <f t="shared" si="1"/>
        <v>4851</v>
      </c>
    </row>
    <row r="26" spans="1:10">
      <c r="A26" s="8"/>
      <c r="B26" s="646" t="s">
        <v>19</v>
      </c>
      <c r="C26" s="87" t="s">
        <v>12</v>
      </c>
      <c r="D26" s="22">
        <v>206143</v>
      </c>
      <c r="E26" s="23"/>
      <c r="F26" s="23"/>
      <c r="G26" s="24">
        <v>4000</v>
      </c>
      <c r="H26" s="25">
        <v>2785</v>
      </c>
      <c r="I26" s="20"/>
      <c r="J26" s="26">
        <f t="shared" si="1"/>
        <v>212928</v>
      </c>
    </row>
    <row r="27" spans="1:10">
      <c r="A27" s="8"/>
      <c r="B27" s="647"/>
      <c r="C27" s="87" t="s">
        <v>13</v>
      </c>
      <c r="D27" s="22">
        <v>34000</v>
      </c>
      <c r="E27" s="23"/>
      <c r="F27" s="23"/>
      <c r="G27" s="24">
        <v>2000</v>
      </c>
      <c r="H27" s="25">
        <v>11000</v>
      </c>
      <c r="I27" s="20"/>
      <c r="J27" s="26">
        <f t="shared" si="1"/>
        <v>47000</v>
      </c>
    </row>
    <row r="28" spans="1:10">
      <c r="A28" s="8"/>
      <c r="B28" s="647"/>
      <c r="C28" s="87" t="s">
        <v>14</v>
      </c>
      <c r="D28" s="22"/>
      <c r="E28" s="23"/>
      <c r="F28" s="23"/>
      <c r="G28" s="24"/>
      <c r="H28" s="25"/>
      <c r="I28" s="20"/>
      <c r="J28" s="26">
        <f t="shared" si="1"/>
        <v>0</v>
      </c>
    </row>
    <row r="29" spans="1:10">
      <c r="A29" s="8"/>
      <c r="B29" s="647"/>
      <c r="C29" s="88" t="s">
        <v>15</v>
      </c>
      <c r="D29" s="27">
        <f>SUM(D26:D28)</f>
        <v>240143</v>
      </c>
      <c r="E29" s="23">
        <f>SUM(E26:E28)</f>
        <v>0</v>
      </c>
      <c r="F29" s="23">
        <f>SUM(F26:F28)</f>
        <v>0</v>
      </c>
      <c r="G29" s="23">
        <f>SUM(G26:G28)</f>
        <v>6000</v>
      </c>
      <c r="H29" s="28">
        <f>SUM(H26:H28)</f>
        <v>13785</v>
      </c>
      <c r="I29" s="20"/>
      <c r="J29" s="26">
        <f t="shared" si="1"/>
        <v>259928</v>
      </c>
    </row>
    <row r="30" spans="1:10" ht="31" thickBot="1">
      <c r="A30" s="8"/>
      <c r="B30" s="104" t="s">
        <v>18</v>
      </c>
      <c r="C30" s="105"/>
      <c r="D30" s="29">
        <f>D24*54%</f>
        <v>175863.96000000002</v>
      </c>
      <c r="E30" s="30"/>
      <c r="F30" s="30"/>
      <c r="G30" s="31">
        <f>G24*54%</f>
        <v>1454.76</v>
      </c>
      <c r="H30" s="32">
        <f>H24*54%</f>
        <v>2529.9</v>
      </c>
      <c r="I30" s="20"/>
      <c r="J30" s="33">
        <f t="shared" si="1"/>
        <v>179848.62000000002</v>
      </c>
    </row>
    <row r="31" spans="1:10" ht="16" thickBot="1">
      <c r="A31" s="8"/>
      <c r="B31" s="12"/>
      <c r="C31" s="13"/>
      <c r="D31" s="34"/>
      <c r="E31" s="34"/>
      <c r="F31" s="34"/>
      <c r="G31" s="34"/>
      <c r="H31" s="34"/>
      <c r="I31" s="20"/>
      <c r="J31" s="20"/>
    </row>
    <row r="32" spans="1:10">
      <c r="A32" s="8"/>
      <c r="B32" s="106" t="s">
        <v>6</v>
      </c>
      <c r="C32" s="107"/>
      <c r="D32" s="35">
        <f>D24+D25+D29+D30</f>
        <v>741680.96</v>
      </c>
      <c r="E32" s="36">
        <f>E24+E25+E29+E30</f>
        <v>0</v>
      </c>
      <c r="F32" s="36">
        <f>F24+F25+F29+F30</f>
        <v>0</v>
      </c>
      <c r="G32" s="36">
        <f>G24+G25+G29+G30</f>
        <v>14999.76</v>
      </c>
      <c r="H32" s="37">
        <f>H24+H25+H29+H30</f>
        <v>20999.9</v>
      </c>
      <c r="I32" s="20"/>
      <c r="J32" s="21">
        <f>J24+J25+J29+J30</f>
        <v>777680.62</v>
      </c>
    </row>
    <row r="33" spans="1:10" ht="31" thickBot="1">
      <c r="A33" s="8"/>
      <c r="B33" s="108" t="s">
        <v>11</v>
      </c>
      <c r="C33" s="109"/>
      <c r="D33" s="38">
        <f>D32*75%</f>
        <v>556260.72</v>
      </c>
      <c r="E33" s="39">
        <f>E32*50%</f>
        <v>0</v>
      </c>
      <c r="F33" s="39">
        <f>F32*100%</f>
        <v>0</v>
      </c>
      <c r="G33" s="39">
        <f>G32*100%</f>
        <v>14999.76</v>
      </c>
      <c r="H33" s="40">
        <f>H32*100%</f>
        <v>20999.9</v>
      </c>
      <c r="I33" s="20"/>
      <c r="J33" s="33">
        <f>SUM(D33:H33)</f>
        <v>592260.38</v>
      </c>
    </row>
    <row r="34" spans="1:10">
      <c r="A34" s="47" t="s">
        <v>20</v>
      </c>
      <c r="B34" s="47"/>
      <c r="C34" s="8"/>
      <c r="D34" s="41"/>
      <c r="E34" s="41"/>
      <c r="F34" s="41"/>
      <c r="G34" s="41"/>
      <c r="H34" s="41"/>
      <c r="I34" s="42"/>
      <c r="J34" s="43"/>
    </row>
  </sheetData>
  <mergeCells count="2">
    <mergeCell ref="B10:B13"/>
    <mergeCell ref="B26:B2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A3.2 Breakdown</vt:lpstr>
      <vt:lpstr>A3 Total </vt:lpstr>
      <vt:lpstr>1.HCMR</vt:lpstr>
      <vt:lpstr>2.FCPCT</vt:lpstr>
      <vt:lpstr>3.IRTA</vt:lpstr>
      <vt:lpstr>4.IOLR</vt:lpstr>
      <vt:lpstr>5.UNIABD</vt:lpstr>
      <vt:lpstr>6.DLO</vt:lpstr>
      <vt:lpstr>7.IMR</vt:lpstr>
      <vt:lpstr>8.IEO</vt:lpstr>
      <vt:lpstr>9.UL</vt:lpstr>
      <vt:lpstr>10.TUe</vt:lpstr>
      <vt:lpstr>11.AU</vt:lpstr>
      <vt:lpstr>12. APROMAR</vt:lpstr>
      <vt:lpstr>13.UNIBA</vt:lpstr>
      <vt:lpstr>14.IFREMER</vt:lpstr>
      <vt:lpstr>15.ULL</vt:lpstr>
      <vt:lpstr>16.FUNDP</vt:lpstr>
      <vt:lpstr>17.NIFES</vt:lpstr>
      <vt:lpstr>18.CTAQUA</vt:lpstr>
      <vt:lpstr>19.CMRM</vt:lpstr>
      <vt:lpstr>20.SARC</vt:lpstr>
      <vt:lpstr>21.DTU</vt:lpstr>
      <vt:lpstr>22.SWH</vt:lpstr>
      <vt:lpstr>23.ARGO</vt:lpstr>
      <vt:lpstr>24.ITICAL</vt:lpstr>
      <vt:lpstr>25.DOR</vt:lpstr>
      <vt:lpstr>26.GEI</vt:lpstr>
      <vt:lpstr>27.FORKYS</vt:lpstr>
      <vt:lpstr>28.CANEXMAR</vt:lpstr>
      <vt:lpstr>29.ASIALOR</vt:lpstr>
      <vt:lpstr>30.CULMAREX</vt:lpstr>
      <vt:lpstr>31.IRIDA</vt:lpstr>
      <vt:lpstr>32. MC2</vt:lpstr>
      <vt:lpstr>33. FGM</vt:lpstr>
      <vt:lpstr>34. BVFi</vt:lpstr>
      <vt:lpstr>35. MASZ</vt:lpstr>
      <vt:lpstr>36. ANFACO</vt:lpstr>
      <vt:lpstr>37. EUFIC</vt:lpstr>
      <vt:lpstr>38. HRH</vt:lpstr>
      <vt:lpstr>39. Fish 2 BE</vt:lpstr>
      <vt:lpstr>40. GMF</vt:lpstr>
    </vt:vector>
  </TitlesOfParts>
  <Company>HCMR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Constantinos Mylonas</dc:creator>
  <cp:lastModifiedBy>Constantinos Mylonas</cp:lastModifiedBy>
  <cp:lastPrinted>2013-08-01T09:45:08Z</cp:lastPrinted>
  <dcterms:created xsi:type="dcterms:W3CDTF">2013-01-16T14:08:23Z</dcterms:created>
  <dcterms:modified xsi:type="dcterms:W3CDTF">2017-01-11T08:53:10Z</dcterms:modified>
</cp:coreProperties>
</file>